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82947DA9-C75B-4C81-B120-10E99139335C}"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Information'!$B$2:$BA$32</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82" i="9" l="1"/>
  <c r="BP82" i="9"/>
  <c r="AI86" i="9"/>
  <c r="BR181" i="4"/>
  <c r="BP181" i="4"/>
  <c r="AI85" i="9" l="1"/>
  <c r="AJ159" i="4"/>
  <c r="AV159" i="4"/>
  <c r="AI84" i="9"/>
  <c r="AI83" i="9"/>
  <c r="O87" i="9"/>
  <c r="O86" i="9"/>
  <c r="O85" i="9"/>
  <c r="O84" i="9"/>
  <c r="O83" i="9"/>
  <c r="K12" i="9"/>
  <c r="AH28" i="9"/>
  <c r="AH28" i="4"/>
  <c r="BP58" i="4"/>
  <c r="AV60" i="4"/>
  <c r="BL56" i="4"/>
  <c r="AY101" i="10"/>
  <c r="AX101" i="10"/>
  <c r="AY100" i="10"/>
  <c r="AX100" i="10"/>
  <c r="AY99" i="10"/>
  <c r="AX99" i="10"/>
  <c r="AY98" i="10"/>
  <c r="AX98" i="10"/>
  <c r="AY97" i="10"/>
  <c r="AX97" i="10"/>
  <c r="AY96" i="10"/>
  <c r="AX96" i="10"/>
  <c r="AY95" i="10"/>
  <c r="AX95" i="10"/>
  <c r="AY94" i="10"/>
  <c r="AX94" i="10"/>
  <c r="AY93" i="10"/>
  <c r="AX93" i="10"/>
  <c r="AY92" i="10"/>
  <c r="AX92" i="10"/>
  <c r="AU92" i="10"/>
  <c r="AU101" i="10"/>
  <c r="AU100" i="10"/>
  <c r="AU99" i="10"/>
  <c r="AU98" i="10"/>
  <c r="AU97" i="10"/>
  <c r="AU96" i="10"/>
  <c r="AU95" i="10"/>
  <c r="AU94" i="10"/>
  <c r="AU93" i="10"/>
  <c r="AT92" i="10"/>
  <c r="AT101" i="10"/>
  <c r="AT100" i="10"/>
  <c r="AT99" i="10"/>
  <c r="AT98" i="10"/>
  <c r="AT97" i="10"/>
  <c r="AT96" i="10"/>
  <c r="AT95" i="10"/>
  <c r="AT94" i="10"/>
  <c r="AT93" i="10"/>
  <c r="AY101" i="6"/>
  <c r="AY100" i="6"/>
  <c r="AY99" i="6"/>
  <c r="AY98" i="6"/>
  <c r="AY97" i="6"/>
  <c r="AY96" i="6"/>
  <c r="AY95" i="6"/>
  <c r="AY94" i="6"/>
  <c r="AY93" i="6"/>
  <c r="AY92" i="6"/>
  <c r="AX92" i="6"/>
  <c r="AX101" i="6"/>
  <c r="AX100" i="6"/>
  <c r="AX99" i="6"/>
  <c r="AX98" i="6"/>
  <c r="AX97" i="6"/>
  <c r="AX96" i="6"/>
  <c r="AX95" i="6"/>
  <c r="AX94" i="6"/>
  <c r="AX93" i="6"/>
  <c r="AU101" i="6"/>
  <c r="AU100" i="6"/>
  <c r="AU99" i="6"/>
  <c r="AU98" i="6"/>
  <c r="AU97" i="6"/>
  <c r="AU96" i="6"/>
  <c r="AU95" i="6"/>
  <c r="AU94" i="6"/>
  <c r="AU93" i="6"/>
  <c r="AU92" i="6"/>
  <c r="AT92" i="6"/>
  <c r="AT101" i="6"/>
  <c r="AT100" i="6"/>
  <c r="AT99" i="6"/>
  <c r="AT98" i="6"/>
  <c r="AT97" i="6"/>
  <c r="AT96" i="6"/>
  <c r="AT95" i="6"/>
  <c r="AT94" i="6"/>
  <c r="AT93" i="6"/>
  <c r="AC23" i="4"/>
  <c r="AC22" i="4"/>
  <c r="AC21" i="4"/>
  <c r="AC20" i="4"/>
  <c r="AC19" i="4"/>
  <c r="AC18" i="4"/>
  <c r="AC17" i="4"/>
  <c r="AC16" i="4"/>
  <c r="AC15" i="4"/>
  <c r="AC14" i="4"/>
  <c r="AC13" i="4"/>
  <c r="AC12" i="4"/>
  <c r="H51" i="10"/>
  <c r="H49" i="10"/>
  <c r="H103" i="9"/>
  <c r="H101" i="9"/>
  <c r="H51" i="6"/>
  <c r="H49" i="6"/>
  <c r="H200" i="4"/>
  <c r="H202" i="4"/>
  <c r="AO107" i="9"/>
  <c r="AO206" i="4"/>
  <c r="BA28" i="4"/>
  <c r="AJ107" i="4" s="1"/>
  <c r="BA30" i="9"/>
  <c r="AZ30" i="9"/>
  <c r="AH30" i="9"/>
  <c r="AZ28" i="9"/>
  <c r="AZ30" i="4"/>
  <c r="AH30" i="4"/>
  <c r="AZ28" i="4"/>
  <c r="AO109" i="9"/>
  <c r="B1" i="9"/>
  <c r="AO208" i="4"/>
  <c r="B1" i="4"/>
  <c r="AC24" i="4" l="1"/>
  <c r="BA28" i="9"/>
  <c r="AJ58" i="9" l="1"/>
  <c r="AV121" i="4" l="1"/>
  <c r="BP38" i="4"/>
  <c r="AV40" i="4"/>
  <c r="AV92" i="6"/>
  <c r="AW92" i="6" s="1"/>
  <c r="V26" i="9"/>
  <c r="AV93" i="6"/>
  <c r="AW93" i="6" s="1"/>
  <c r="AQ92" i="6"/>
  <c r="AZ93" i="6" l="1"/>
  <c r="BA93" i="6" s="1"/>
  <c r="AZ94" i="6"/>
  <c r="BA94" i="6" s="1"/>
  <c r="AZ95" i="6"/>
  <c r="BA95" i="6" s="1"/>
  <c r="AV94" i="6"/>
  <c r="AW94" i="6" s="1"/>
  <c r="AV95" i="6"/>
  <c r="AW95" i="6" s="1"/>
  <c r="AZ96" i="6"/>
  <c r="BA96" i="6" s="1"/>
  <c r="AV97" i="6"/>
  <c r="AW97" i="6" s="1"/>
  <c r="AZ97" i="6"/>
  <c r="BA97" i="6" s="1"/>
  <c r="AV98" i="6"/>
  <c r="AW98" i="6" s="1"/>
  <c r="AV100" i="6"/>
  <c r="AW100" i="6" s="1"/>
  <c r="AV96" i="6"/>
  <c r="AW96" i="6" s="1"/>
  <c r="AZ98" i="6"/>
  <c r="BA98" i="6" s="1"/>
  <c r="AV99" i="6"/>
  <c r="AW99" i="6" s="1"/>
  <c r="AZ99" i="6"/>
  <c r="BA99" i="6" s="1"/>
  <c r="AZ100" i="6"/>
  <c r="BA100" i="6" s="1"/>
  <c r="AV101" i="6"/>
  <c r="AW101" i="6" s="1"/>
  <c r="AZ101" i="6"/>
  <c r="BA101" i="6" s="1"/>
  <c r="AV149" i="4"/>
  <c r="BP147" i="4"/>
  <c r="BP143" i="4"/>
  <c r="BP141" i="4"/>
  <c r="BP139" i="4"/>
  <c r="BP135" i="4"/>
  <c r="BP130" i="4"/>
  <c r="BP128" i="4"/>
  <c r="AV141" i="4"/>
  <c r="BP121" i="4"/>
  <c r="AV135" i="4"/>
  <c r="BP137" i="4" s="1"/>
  <c r="AV153" i="4"/>
  <c r="BP153" i="4" s="1"/>
  <c r="AV151" i="4"/>
  <c r="BP150" i="4" s="1"/>
  <c r="BP149" i="4"/>
  <c r="BC85" i="9" l="1"/>
  <c r="M102" i="6" l="1"/>
  <c r="G102" i="6"/>
  <c r="AQ102" i="6" l="1"/>
  <c r="AQ79" i="6"/>
  <c r="BD33" i="5" l="1"/>
  <c r="AV131" i="4" l="1"/>
  <c r="AV129" i="4"/>
  <c r="AV125" i="4" l="1"/>
  <c r="BP125" i="4" s="1"/>
  <c r="BP9" i="4" l="1"/>
  <c r="AP24" i="4" l="1"/>
  <c r="BP113" i="4" s="1"/>
  <c r="AU24" i="4"/>
  <c r="AJ81" i="4" s="1"/>
  <c r="BE24" i="4"/>
  <c r="AJ77" i="4" s="1"/>
  <c r="AZ24" i="4"/>
  <c r="AJ83" i="4" s="1"/>
  <c r="AJ24" i="4"/>
  <c r="AJ87" i="4" s="1"/>
  <c r="S101" i="6"/>
  <c r="S100" i="6"/>
  <c r="S99" i="6"/>
  <c r="S98" i="6"/>
  <c r="S97" i="6"/>
  <c r="S96" i="6"/>
  <c r="S95" i="6"/>
  <c r="S94" i="6"/>
  <c r="S93" i="6"/>
  <c r="S92" i="6"/>
  <c r="AJ127" i="4" l="1"/>
  <c r="AV113" i="4"/>
  <c r="AV115" i="4" s="1"/>
  <c r="AV123" i="4" s="1"/>
  <c r="BP122" i="4" s="1"/>
  <c r="S102" i="6"/>
  <c r="BP114" i="4" l="1"/>
  <c r="AV127" i="4"/>
  <c r="AP27" i="6"/>
  <c r="AQ27" i="6" l="1"/>
  <c r="V30" i="9" l="1"/>
  <c r="V28" i="9"/>
  <c r="BP119" i="4" l="1"/>
  <c r="AH34" i="9" l="1"/>
  <c r="AV147" i="4" l="1"/>
  <c r="AV143" i="4"/>
  <c r="N34" i="9" l="1"/>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V98" i="10" l="1"/>
  <c r="AW98" i="10" s="1"/>
  <c r="S97" i="10"/>
  <c r="S101" i="10"/>
  <c r="M102" i="10"/>
  <c r="S96" i="10"/>
  <c r="S100" i="10"/>
  <c r="AV96" i="10"/>
  <c r="AW96" i="10" s="1"/>
  <c r="G102" i="10"/>
  <c r="S93" i="10"/>
  <c r="S92" i="10"/>
  <c r="AQ92" i="10"/>
  <c r="AQ86" i="9"/>
  <c r="AQ85" i="9"/>
  <c r="BC86" i="9"/>
  <c r="AV46" i="9"/>
  <c r="AV52" i="9"/>
  <c r="AV50" i="9"/>
  <c r="AV48" i="9"/>
  <c r="BC34" i="9"/>
  <c r="AP27" i="10" s="1"/>
  <c r="AF27" i="10" s="1"/>
  <c r="AZ99" i="10" l="1"/>
  <c r="BA99" i="10" s="1"/>
  <c r="AV100" i="10"/>
  <c r="AW100" i="10" s="1"/>
  <c r="AV99" i="10"/>
  <c r="AW99" i="10" s="1"/>
  <c r="AV97" i="10"/>
  <c r="AW97" i="10" s="1"/>
  <c r="AZ100" i="10"/>
  <c r="BA100" i="10" s="1"/>
  <c r="AZ94" i="10"/>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36" i="5"/>
  <c r="BH37" i="5" s="1"/>
  <c r="BH38" i="5" s="1"/>
  <c r="BG36" i="5"/>
  <c r="BG37" i="5" s="1"/>
  <c r="BG38" i="5" s="1"/>
  <c r="BF36" i="5"/>
  <c r="BF37" i="5" s="1"/>
  <c r="BE36" i="5"/>
  <c r="BE37" i="5" s="1"/>
  <c r="BD36" i="5"/>
  <c r="BC36" i="5"/>
  <c r="BC37" i="5" s="1"/>
  <c r="BC38" i="5" s="1"/>
  <c r="BC39" i="5" s="1"/>
  <c r="BC40" i="5" s="1"/>
  <c r="BC41" i="5" s="1"/>
  <c r="BC42" i="5" s="1"/>
  <c r="BC43" i="5" s="1"/>
  <c r="BC44" i="5" s="1"/>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H33" i="5"/>
  <c r="BG33" i="5"/>
  <c r="BF33" i="5"/>
  <c r="BE33" i="5"/>
  <c r="BC33" i="5"/>
  <c r="BD37" i="5" l="1"/>
  <c r="BD38" i="5" s="1"/>
  <c r="BD39" i="5" s="1"/>
  <c r="BD40" i="5" s="1"/>
  <c r="BD41" i="5" s="1"/>
  <c r="BD42" i="5" s="1"/>
  <c r="BD43" i="5" s="1"/>
  <c r="BD44" i="5" s="1"/>
  <c r="BD45" i="5" s="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C34" i="5"/>
  <c r="BH39" i="5"/>
  <c r="BH40" i="5" s="1"/>
  <c r="BH41" i="5" s="1"/>
  <c r="BH42" i="5" s="1"/>
  <c r="BG39" i="5"/>
  <c r="BG40" i="5" s="1"/>
  <c r="BG41" i="5" s="1"/>
  <c r="BG42" i="5" s="1"/>
  <c r="BG43" i="5" s="1"/>
  <c r="BG44" i="5" s="1"/>
  <c r="BG45" i="5" s="1"/>
  <c r="BG46" i="5" s="1"/>
  <c r="BG47" i="5" s="1"/>
  <c r="BG48" i="5" s="1"/>
  <c r="BG49" i="5" s="1"/>
  <c r="BF38" i="5"/>
  <c r="BF39" i="5" s="1"/>
  <c r="BF40" i="5" s="1"/>
  <c r="BF41" i="5" s="1"/>
  <c r="BF42" i="5" s="1"/>
  <c r="BF43" i="5" s="1"/>
  <c r="BF44" i="5" s="1"/>
  <c r="BF45" i="5" s="1"/>
  <c r="BF46" i="5" s="1"/>
  <c r="BF47" i="5" s="1"/>
  <c r="BF48" i="5" s="1"/>
  <c r="BF49" i="5" s="1"/>
  <c r="BF50" i="5" s="1"/>
  <c r="BF51" i="5" s="1"/>
  <c r="BF52" i="5" s="1"/>
  <c r="BE38" i="5"/>
  <c r="BE39" i="5" s="1"/>
  <c r="BE40" i="5" s="1"/>
  <c r="BE41" i="5" s="1"/>
  <c r="BE42" i="5" s="1"/>
  <c r="BE43" i="5" s="1"/>
  <c r="BE44" i="5" s="1"/>
  <c r="BE45" i="5" s="1"/>
  <c r="BE46" i="5" s="1"/>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D34" i="5" l="1"/>
  <c r="BH34" i="5"/>
  <c r="BE34" i="5"/>
  <c r="BG34" i="5"/>
  <c r="BF34" i="5"/>
  <c r="BP8" i="4" l="1"/>
  <c r="AV157" i="4"/>
  <c r="BP157" i="4" s="1"/>
  <c r="U20" i="10"/>
  <c r="U11" i="10"/>
  <c r="U20" i="6"/>
  <c r="BP9" i="9" l="1"/>
  <c r="AQ101" i="6"/>
  <c r="AQ100" i="6"/>
  <c r="AQ99" i="6"/>
  <c r="AQ98" i="6"/>
  <c r="AQ97" i="6"/>
  <c r="AQ96" i="6"/>
  <c r="AQ95" i="6"/>
  <c r="AQ94" i="6"/>
  <c r="AQ93"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E102" i="6" l="1"/>
  <c r="AK95" i="6"/>
  <c r="AK92" i="6"/>
  <c r="AK100" i="6"/>
  <c r="Y100" i="10"/>
  <c r="AE100" i="10"/>
  <c r="AK102" i="6" l="1"/>
  <c r="AF76" i="6" s="1"/>
  <c r="AK100" i="10"/>
  <c r="AI93" i="9" l="1"/>
  <c r="BP8" i="9" l="1"/>
  <c r="AQ101" i="10"/>
  <c r="AQ99" i="10"/>
  <c r="AQ98" i="10"/>
  <c r="AQ97" i="10"/>
  <c r="AQ96" i="10"/>
  <c r="AQ95" i="10"/>
  <c r="AQ94" i="10"/>
  <c r="AQ93" i="10"/>
  <c r="AQ25" i="10"/>
  <c r="AQ22" i="10"/>
  <c r="L5" i="9"/>
  <c r="AO101" i="9" s="1"/>
  <c r="L7" i="9"/>
  <c r="BP7" i="9" s="1"/>
  <c r="AN5" i="9"/>
  <c r="Y96" i="9" s="1"/>
  <c r="AO103" i="9" l="1"/>
  <c r="D45" i="10"/>
  <c r="M104" i="10" s="1"/>
  <c r="AV92" i="10"/>
  <c r="AW92" i="10" s="1"/>
  <c r="AE94" i="10"/>
  <c r="E93" i="9"/>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AI192" i="4" l="1"/>
  <c r="L7" i="4"/>
  <c r="BP7" i="4" s="1"/>
  <c r="AN5" i="4"/>
  <c r="L5" i="4"/>
  <c r="D45" i="6" s="1"/>
  <c r="M104" i="6" s="1"/>
  <c r="R12" i="9" l="1"/>
  <c r="R13" i="9"/>
  <c r="K13" i="9"/>
  <c r="Y12" i="9"/>
  <c r="AV77" i="4"/>
  <c r="R14" i="9" l="1"/>
  <c r="K14" i="9"/>
  <c r="AH7" i="9"/>
  <c r="AF12" i="9"/>
  <c r="Y13" i="9"/>
  <c r="AF13" i="9" l="1"/>
  <c r="Y14" i="9"/>
  <c r="AH7" i="4"/>
  <c r="R15" i="9" l="1"/>
  <c r="K15" i="9"/>
  <c r="AF14" i="9"/>
  <c r="Y15" i="9"/>
  <c r="R16" i="9" l="1"/>
  <c r="K16" i="9"/>
  <c r="AF15" i="9"/>
  <c r="Y16" i="9"/>
  <c r="R17" i="9" l="1"/>
  <c r="K17" i="9"/>
  <c r="AF16" i="9"/>
  <c r="Y17" i="9"/>
  <c r="R18" i="9" l="1"/>
  <c r="K18" i="9"/>
  <c r="AF17" i="9"/>
  <c r="BP48" i="4"/>
  <c r="BQ48" i="4" s="1"/>
  <c r="R19" i="9" l="1"/>
  <c r="K19" i="9"/>
  <c r="BA26" i="9"/>
  <c r="Y18" i="9"/>
  <c r="AF18" i="9" s="1"/>
  <c r="Y19" i="9" l="1"/>
  <c r="AF19" i="9" s="1"/>
  <c r="R20" i="9"/>
  <c r="K20" i="9"/>
  <c r="Y20" i="9"/>
  <c r="R22" i="9" l="1"/>
  <c r="K22" i="9"/>
  <c r="R21" i="9"/>
  <c r="K21" i="9"/>
  <c r="AF20" i="9"/>
  <c r="Y22" i="9"/>
  <c r="Y21" i="9" l="1"/>
  <c r="AF21" i="9"/>
  <c r="AF22" i="9"/>
  <c r="R23" i="9"/>
  <c r="R24" i="9" s="1"/>
  <c r="K23" i="9"/>
  <c r="K24" i="4"/>
  <c r="Q24" i="4" l="1"/>
  <c r="AJ103" i="4" s="1"/>
  <c r="W24" i="4"/>
  <c r="AV42" i="4" s="1"/>
  <c r="BP42" i="4" s="1"/>
  <c r="Y23" i="9"/>
  <c r="Y24" i="9" s="1"/>
  <c r="K24" i="9"/>
  <c r="AV58" i="9" s="1"/>
  <c r="BL57" i="9" s="1"/>
  <c r="Y24" i="4"/>
  <c r="Y195" i="4"/>
  <c r="AO202" i="4"/>
  <c r="E192" i="4"/>
  <c r="AO200" i="4"/>
  <c r="AV105" i="4" l="1"/>
  <c r="BL104" i="4" s="1"/>
  <c r="AF23" i="9"/>
  <c r="AF24" i="9" s="1"/>
  <c r="BR48" i="4"/>
  <c r="BS48" i="4" s="1"/>
  <c r="AV139" i="4"/>
  <c r="AV36" i="4" l="1"/>
  <c r="AV44" i="4" s="1"/>
  <c r="AV50" i="4" s="1"/>
  <c r="AV36" i="9"/>
  <c r="AV40" i="9" s="1"/>
  <c r="AV42" i="9" s="1"/>
  <c r="AV54" i="9" s="1"/>
  <c r="AV48" i="4"/>
  <c r="AJ60" i="9"/>
  <c r="AV137" i="4"/>
  <c r="AV107" i="4"/>
  <c r="BL106" i="4" s="1"/>
  <c r="AJ155" i="4"/>
  <c r="BP155" i="4" s="1"/>
  <c r="AV97" i="4"/>
  <c r="AV95" i="4"/>
  <c r="AV93" i="4"/>
  <c r="AV91" i="4"/>
  <c r="AV89" i="4"/>
  <c r="AV52" i="4" l="1"/>
  <c r="BP72" i="4" s="1"/>
  <c r="AV72" i="4" s="1"/>
  <c r="AV60" i="9"/>
  <c r="AV62" i="9" s="1"/>
  <c r="AV155" i="4"/>
  <c r="AJ79" i="4"/>
  <c r="AV66" i="9" l="1"/>
  <c r="AV68" i="9" s="1"/>
  <c r="AQ62" i="10"/>
  <c r="AV79" i="4"/>
  <c r="BP76" i="4" s="1"/>
  <c r="AJ99" i="4"/>
  <c r="BL99" i="4" s="1"/>
  <c r="BP62" i="9"/>
  <c r="AF64" i="10"/>
  <c r="AF62" i="10" s="1"/>
  <c r="AV83" i="4"/>
  <c r="AV81" i="4"/>
  <c r="AQ71" i="10" l="1"/>
  <c r="AR71" i="10" s="1"/>
  <c r="BP67" i="9"/>
  <c r="AV99" i="4"/>
  <c r="AF66" i="10"/>
  <c r="AV70" i="9"/>
  <c r="AV72" i="9" s="1"/>
  <c r="AV74" i="9" s="1"/>
  <c r="AV87" i="4"/>
  <c r="AQ69" i="10" l="1"/>
  <c r="AR69" i="10" s="1"/>
  <c r="AQ72" i="10"/>
  <c r="AR72" i="10" l="1"/>
  <c r="AF71" i="10" s="1"/>
  <c r="AQ70" i="10"/>
  <c r="AV85" i="4"/>
  <c r="AR70" i="10" l="1"/>
  <c r="AF69" i="10" s="1"/>
  <c r="AF73" i="10" s="1"/>
  <c r="AF79" i="10" s="1"/>
  <c r="AV76" i="9" s="1"/>
  <c r="B78" i="9" s="1"/>
  <c r="AV101" i="4"/>
  <c r="AV103" i="4" s="1"/>
  <c r="AV78" i="9" l="1"/>
  <c r="BQ82" i="9" s="1"/>
  <c r="BC83" i="9" l="1"/>
  <c r="AI87" i="9"/>
  <c r="BC84" i="9" l="1"/>
  <c r="BC87" i="9" s="1"/>
  <c r="B89" i="9" l="1"/>
  <c r="AV89" i="9"/>
  <c r="AV145" i="4"/>
  <c r="BP144" i="4" l="1"/>
  <c r="BL141" i="4" l="1"/>
  <c r="BK141" i="4" s="1"/>
  <c r="AV133" i="4"/>
  <c r="BP159" i="4" s="1"/>
  <c r="BL143" i="4"/>
  <c r="BK143" i="4" s="1"/>
  <c r="AV161" i="4" l="1"/>
  <c r="AQ62" i="6" l="1"/>
  <c r="AF64" i="6"/>
  <c r="AF62" i="6" s="1"/>
  <c r="BP160" i="4"/>
  <c r="AV165" i="4"/>
  <c r="AV167" i="4" l="1"/>
  <c r="AV169" i="4" s="1"/>
  <c r="AQ71" i="6"/>
  <c r="AR71" i="6" s="1"/>
  <c r="AF66" i="6"/>
  <c r="AQ72" i="6" l="1"/>
  <c r="AR72" i="6" s="1"/>
  <c r="AF71" i="6" s="1"/>
  <c r="AV171" i="4"/>
  <c r="AV173" i="4" s="1"/>
  <c r="AQ69" i="6"/>
  <c r="AR69" i="6" s="1"/>
  <c r="AQ70" i="6" l="1"/>
  <c r="AR70" i="6" l="1"/>
  <c r="AF69" i="6" s="1"/>
  <c r="AF73" i="6" s="1"/>
  <c r="AF79" i="6" s="1"/>
  <c r="AV175" i="4" s="1"/>
  <c r="B177" i="4" l="1"/>
  <c r="AV177" i="4"/>
  <c r="BQ181" i="4" l="1"/>
  <c r="BC183" i="4" l="1"/>
  <c r="AI186" i="4" l="1"/>
  <c r="BC182" i="4"/>
  <c r="BC186" i="4" l="1"/>
  <c r="AV188" i="4" s="1"/>
  <c r="B18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 xml:space="preserve">Income deemed to be received :
7. The following incomes shall be deemed to be received in the previous year :—
 (iii)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 xml:space="preserve">Rebate of income-tax in case of certain individuals.:
156. (1) </t>
        </r>
        <r>
          <rPr>
            <sz val="9"/>
            <color indexed="81"/>
            <rFont val="Tahoma"/>
            <family val="2"/>
          </rPr>
          <t xml:space="preserve">A resident individual assessee shall be entitled to a deduction of </t>
        </r>
        <r>
          <rPr>
            <b/>
            <sz val="9"/>
            <color indexed="81"/>
            <rFont val="Tahoma"/>
            <family val="2"/>
          </rPr>
          <t xml:space="preserve">100% of income-tax payable </t>
        </r>
        <r>
          <rPr>
            <sz val="9"/>
            <color indexed="81"/>
            <rFont val="Tahoma"/>
            <family val="2"/>
          </rPr>
          <t>or</t>
        </r>
        <r>
          <rPr>
            <b/>
            <sz val="9"/>
            <color indexed="81"/>
            <rFont val="Tahoma"/>
            <family val="2"/>
          </rPr>
          <t xml:space="preserve"> twelve thousand five hundred rupees, </t>
        </r>
        <r>
          <rPr>
            <sz val="9"/>
            <color indexed="81"/>
            <rFont val="Tahoma"/>
            <family val="2"/>
          </rPr>
          <t>whichever is less, from the income-tax (computed before allowing the deduction under this section) chargeable on the total income for any tax year if the</t>
        </r>
        <r>
          <rPr>
            <b/>
            <sz val="9"/>
            <color indexed="81"/>
            <rFont val="Tahoma"/>
            <family val="2"/>
          </rPr>
          <t xml:space="preserve"> 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t>
        </r>
        <r>
          <rPr>
            <b/>
            <sz val="9"/>
            <color indexed="81"/>
            <rFont val="Tahoma"/>
            <family val="2"/>
          </rPr>
          <t xml:space="preserve"> refund due</t>
        </r>
        <r>
          <rPr>
            <sz val="9"/>
            <color indexed="81"/>
            <rFont val="Tahoma"/>
            <family val="2"/>
          </rPr>
          <t>,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 xml:space="preserve">Income deemed to be received :
7. The following incomes shall be deemed to be received in the previous year :—
 (iii)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 xml:space="preserve">any arrears of salary paid or allowed to him in the tax year by or on behalf of an employer, if not charged to income-tax for any earlier tax year.
</t>
        </r>
        <r>
          <rPr>
            <b/>
            <sz val="9"/>
            <color indexed="81"/>
            <rFont val="Tahoma"/>
            <family val="2"/>
          </rPr>
          <t xml:space="preserve">
Salary Arrear 1 :
</t>
        </r>
        <r>
          <rPr>
            <sz val="9"/>
            <color indexed="81"/>
            <rFont val="Tahoma"/>
            <family val="2"/>
          </rPr>
          <t>Please enter the amount of Salary Arrear received.</t>
        </r>
      </text>
    </comment>
    <comment ref="BC34" authorId="0" shapeId="0" xr:uid="{FB4BDC6A-74C9-4A9E-9342-CE80CCADCC09}">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(a) ₹ 75,000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t>
        </r>
        <r>
          <rPr>
            <sz val="9"/>
            <color indexed="81"/>
            <rFont val="Tahoma"/>
            <family val="2"/>
          </rPr>
          <t xml:space="preserve"> shall be deemed to be the total income of the assessee or the </t>
        </r>
        <r>
          <rPr>
            <b/>
            <sz val="9"/>
            <color indexed="81"/>
            <rFont val="Tahoma"/>
            <family val="2"/>
          </rPr>
          <t>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<sst xmlns="http://schemas.openxmlformats.org/spreadsheetml/2006/main" count="622" uniqueCount="240">
  <si>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</si>
  <si>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</si>
  <si>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</si>
  <si>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</si>
  <si>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</si>
  <si>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</si>
  <si>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</si>
  <si>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</si>
  <si>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</si>
  <si>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</si>
  <si>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</si>
  <si>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</si>
  <si>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</si>
  <si>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</si>
  <si>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</si>
  <si>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</si>
  <si>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</si>
  <si>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</si>
  <si>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</si>
  <si>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</si>
  <si>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</si>
  <si>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</si>
  <si>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</si>
  <si>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</si>
  <si>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</si>
  <si>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</si>
  <si>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</si>
  <si>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</si>
  <si>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</si>
  <si>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</si>
  <si>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</si>
  <si>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</si>
  <si>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</si>
  <si>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</si>
  <si>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</si>
  <si>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</si>
  <si>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</si>
  <si>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</si>
  <si>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</si>
  <si>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</si>
  <si>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</si>
  <si>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</si>
  <si>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</si>
  <si>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</si>
  <si>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</si>
  <si>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</si>
  <si>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</si>
  <si>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</si>
  <si>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</si>
  <si>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</si>
  <si>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</si>
  <si>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</si>
  <si>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</si>
  <si>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</si>
  <si>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</si>
  <si>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</si>
  <si>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</si>
  <si>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</si>
  <si>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</si>
  <si>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</si>
  <si>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</si>
  <si>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</si>
  <si>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</si>
  <si>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</si>
  <si>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</si>
  <si>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</si>
  <si>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</si>
  <si>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</si>
  <si>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</si>
  <si>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</si>
  <si>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</si>
  <si>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</si>
  <si>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</si>
  <si>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</si>
  <si>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</si>
  <si>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</si>
  <si>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</si>
  <si>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</si>
  <si>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</si>
  <si>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</si>
  <si>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</si>
  <si>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</si>
  <si>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</si>
  <si>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</si>
  <si>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</si>
  <si>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</si>
  <si>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</si>
  <si>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</si>
  <si>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</si>
  <si>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</si>
  <si>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</si>
  <si>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</si>
  <si>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</si>
  <si>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</si>
  <si>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</si>
  <si>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</si>
  <si>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</si>
  <si>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</si>
  <si>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</si>
  <si>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</si>
  <si>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</si>
  <si>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</si>
  <si>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</si>
  <si>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</si>
  <si>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</si>
  <si>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</si>
  <si>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</si>
  <si>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</si>
  <si>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</si>
  <si>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</si>
  <si>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</si>
  <si>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</si>
  <si>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</si>
  <si>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Father's Name</t>
  </si>
  <si>
    <t>No</t>
  </si>
  <si>
    <t>Prepared by Libin Kuriakose, St. Thomas College, Palai</t>
  </si>
  <si>
    <t>Interest Income from Savings Bank Accounts in India</t>
  </si>
  <si>
    <t>Preventive Health Checkup</t>
  </si>
  <si>
    <t xml:space="preserve"> </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</si>
  <si>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</si>
  <si>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</si>
  <si>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</si>
  <si>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</si>
  <si>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</si>
  <si>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</si>
  <si>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</si>
  <si>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</si>
  <si>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</si>
  <si>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</si>
  <si>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</si>
  <si>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</si>
  <si>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</si>
  <si>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</si>
  <si>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</si>
  <si>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</si>
  <si>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</si>
  <si>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</si>
  <si>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</si>
  <si>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</si>
  <si>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</si>
  <si>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</si>
  <si>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</si>
  <si>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</si>
  <si>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</si>
  <si>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</si>
  <si>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</si>
  <si>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</si>
  <si>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</si>
  <si>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</si>
  <si>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</si>
  <si>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</si>
  <si>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</si>
  <si>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</si>
  <si>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</si>
  <si>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</si>
  <si>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</si>
  <si>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</si>
  <si>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t>PROFORMA FOR CALCULATION OF ANTICIPATORY INCOME TAX</t>
  </si>
  <si>
    <t>2025-2026</t>
  </si>
  <si>
    <r>
      <t xml:space="preserve">Income Tax Calculator in                 
</t>
    </r>
    <r>
      <rPr>
        <b/>
        <i/>
        <sz val="14"/>
        <color rgb="FFFF0000"/>
        <rFont val="Times New Roman"/>
        <family val="1"/>
      </rPr>
      <t>Old Regime of Tax Slab</t>
    </r>
  </si>
  <si>
    <t>Have you opted for the Old Tax Regime for the TY 2023-2024?</t>
  </si>
  <si>
    <t>Have you opted for the Old Tax Regime for the TY 2024-2025?</t>
  </si>
  <si>
    <t>FOR THE TAX YEAR  2025  –  2026</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</si>
  <si>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</si>
  <si>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</si>
  <si>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</si>
  <si>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</si>
  <si>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</si>
  <si>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</si>
  <si>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</si>
  <si>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</si>
  <si>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</si>
  <si>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</si>
  <si>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</si>
  <si>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</si>
  <si>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</si>
  <si>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</si>
  <si>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</si>
  <si>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</si>
  <si>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</si>
  <si>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</si>
  <si>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</si>
  <si>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</si>
  <si>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</si>
  <si>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</si>
  <si>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</si>
  <si>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</si>
  <si>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</si>
  <si>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</si>
  <si>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</si>
  <si>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</si>
  <si>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</si>
  <si>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</si>
  <si>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</si>
  <si>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</si>
  <si>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</si>
  <si>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</si>
  <si>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</si>
  <si>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</si>
  <si>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</si>
  <si>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</si>
  <si>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</si>
  <si>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</si>
  <si>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</si>
  <si>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</si>
  <si>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</si>
  <si>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</si>
  <si>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</si>
  <si>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</si>
  <si>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</si>
  <si>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</si>
  <si>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</si>
  <si>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</si>
  <si>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</si>
  <si>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</si>
  <si>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</si>
  <si>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</si>
  <si>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</si>
  <si>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</si>
  <si>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</si>
  <si>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</si>
  <si>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</si>
  <si>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</si>
  <si>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</si>
  <si>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</si>
  <si>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</si>
  <si>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</si>
  <si>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</si>
  <si>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 xml:space="preserve">31st March 2026, for claiming relief under section 157 by a Government </t>
  </si>
  <si>
    <r>
      <t>31</t>
    </r>
    <r>
      <rPr>
        <vertAlign val="superscript"/>
        <sz val="12"/>
        <color theme="1"/>
        <rFont val="Arial"/>
        <family val="2"/>
      </rPr>
      <t>st</t>
    </r>
    <r>
      <rPr>
        <sz val="12"/>
        <color theme="1"/>
        <rFont val="Arial"/>
        <family val="2"/>
      </rPr>
      <t xml:space="preserve"> March 2026, for claiming relief under section 157 by a Government </t>
    </r>
  </si>
  <si>
    <t>A1. Salary Statement u/s 15/16/17:</t>
  </si>
  <si>
    <t>A2. Salary Arrear Statement u/s 15 (1)(c) :</t>
  </si>
  <si>
    <t>Gross Salary u/s 15/16/17 (A1 + A2)</t>
  </si>
  <si>
    <t>1. Net Salary u/s 15/16/17 (A1 + A2)</t>
  </si>
  <si>
    <t>accordance with the provisions of the Income-tax Act, 2025.</t>
  </si>
  <si>
    <t>Name of Your Organization/Office</t>
  </si>
  <si>
    <t>Official Designation of the Head of Your Organization/Office</t>
  </si>
  <si>
    <t>Income Tax Calculator in the old and new tax regime with form 10E for the TY 2025–2026.</t>
  </si>
  <si>
    <t>Is the property being acquired or constructed and occupied by the owner for their own residence, or is the owner unable to occupy it for any reason, as per Section 22(2)(a)?</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</si>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</sst>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5"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s>
  <fills count="12">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
      <patternFill patternType="solid">
        <fgColor rgb="FFC5D9F1"/>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56">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30" fillId="0" borderId="0" xfId="0" applyFont="1"/>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0"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8" fillId="0" borderId="0" xfId="0" applyFont="1" applyAlignment="1">
      <alignment horizontal="left" vertical="center"/>
    </xf>
    <xf numFmtId="0" fontId="21" fillId="0" borderId="0" xfId="0" applyFont="1" applyAlignment="1">
      <alignment horizontal="center" vertical="center"/>
    </xf>
    <xf numFmtId="0" fontId="23" fillId="0" borderId="0" xfId="0" applyFont="1"/>
    <xf numFmtId="165" fontId="23" fillId="0" borderId="0" xfId="0" applyNumberFormat="1" applyFont="1"/>
    <xf numFmtId="0" fontId="8" fillId="0" borderId="0" xfId="0" applyFont="1" applyAlignment="1">
      <alignment horizontal="left" vertical="center" wrapText="1"/>
    </xf>
    <xf numFmtId="0" fontId="45" fillId="0" borderId="0" xfId="0" applyFont="1" applyAlignment="1">
      <alignment horizontal="center"/>
    </xf>
    <xf numFmtId="0" fontId="32" fillId="0" borderId="0" xfId="0" applyFont="1" applyAlignment="1">
      <alignment horizontal="left" vertical="center" wrapText="1"/>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23" fillId="8" borderId="1" xfId="0" applyFont="1" applyFill="1" applyBorder="1" applyAlignment="1" applyProtection="1">
      <alignment horizontal="left" vertical="center"/>
      <protection locked="0"/>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23" fillId="0" borderId="0" xfId="0" applyFont="1" applyAlignment="1">
      <alignment horizontal="left" vertical="center" wrapText="1"/>
    </xf>
    <xf numFmtId="0" fontId="8" fillId="0" borderId="0" xfId="0" applyFont="1"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0" borderId="0" xfId="0" applyFont="1" applyAlignment="1">
      <alignment horizontal="left" vertical="center"/>
    </xf>
    <xf numFmtId="0" fontId="8" fillId="0" borderId="0" xfId="0" applyFont="1" applyAlignment="1">
      <alignment horizontal="left" vertical="center"/>
    </xf>
    <xf numFmtId="49" fontId="23" fillId="8" borderId="1" xfId="0" applyNumberFormat="1"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49" fontId="8" fillId="8" borderId="2" xfId="0" applyNumberFormat="1" applyFont="1" applyFill="1" applyBorder="1" applyAlignment="1" applyProtection="1">
      <alignment horizontal="left" vertical="center"/>
      <protection locked="0"/>
    </xf>
    <xf numFmtId="49" fontId="8" fillId="8" borderId="3" xfId="0" applyNumberFormat="1" applyFont="1" applyFill="1" applyBorder="1" applyAlignment="1" applyProtection="1">
      <alignment horizontal="left" vertical="center"/>
      <protection locked="0"/>
    </xf>
    <xf numFmtId="0" fontId="8" fillId="0" borderId="0" xfId="0" applyFont="1"/>
    <xf numFmtId="49" fontId="23" fillId="8" borderId="1" xfId="0" quotePrefix="1" applyNumberFormat="1" applyFont="1" applyFill="1" applyBorder="1" applyAlignment="1" applyProtection="1">
      <alignment horizontal="left" vertical="center"/>
      <protection locked="0"/>
    </xf>
    <xf numFmtId="0" fontId="60" fillId="0" borderId="0" xfId="0" applyFont="1" applyAlignment="1">
      <alignment horizontal="center" vertical="center" wrapText="1"/>
    </xf>
    <xf numFmtId="0" fontId="61" fillId="0" borderId="0" xfId="0" applyFont="1" applyAlignment="1">
      <alignment horizontal="center" vertical="center" wrapText="1"/>
    </xf>
    <xf numFmtId="0" fontId="23" fillId="8" borderId="1" xfId="0" applyFont="1" applyFill="1" applyBorder="1" applyAlignment="1" applyProtection="1">
      <alignment horizontal="left" vertical="center" wrapText="1"/>
      <protection locked="0"/>
    </xf>
    <xf numFmtId="0" fontId="8" fillId="8" borderId="2"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left" vertical="center" wrapText="1"/>
      <protection locked="0"/>
    </xf>
    <xf numFmtId="0" fontId="63" fillId="0" borderId="0" xfId="0" applyFont="1" applyAlignment="1">
      <alignment horizontal="center" vertical="center"/>
    </xf>
    <xf numFmtId="0" fontId="62" fillId="0" borderId="0" xfId="0" applyFont="1" applyAlignment="1">
      <alignment horizontal="center" vertical="center" wrapText="1"/>
    </xf>
    <xf numFmtId="0" fontId="52" fillId="0" borderId="0" xfId="0" applyFont="1" applyAlignment="1">
      <alignment horizontal="center" vertical="center"/>
    </xf>
    <xf numFmtId="0" fontId="63" fillId="0" borderId="0" xfId="0" applyFont="1" applyAlignment="1">
      <alignment horizontal="center"/>
    </xf>
    <xf numFmtId="0" fontId="54" fillId="0" borderId="0" xfId="0" applyFont="1" applyAlignment="1">
      <alignment horizontal="center"/>
    </xf>
    <xf numFmtId="0" fontId="30" fillId="0" borderId="0" xfId="0" applyFont="1" applyAlignment="1">
      <alignment horizontal="left" vertical="center" wrapText="1"/>
    </xf>
    <xf numFmtId="0" fontId="23" fillId="0" borderId="4" xfId="0" applyFont="1" applyBorder="1" applyAlignment="1">
      <alignment horizontal="left" vertical="center"/>
    </xf>
    <xf numFmtId="0" fontId="0" fillId="0" borderId="5" xfId="0" applyBorder="1" applyAlignment="1">
      <alignment horizontal="left" vertical="center"/>
    </xf>
    <xf numFmtId="49" fontId="23" fillId="0" borderId="4" xfId="0" applyNumberFormat="1" applyFont="1" applyBorder="1" applyAlignment="1">
      <alignment horizontal="left" vertical="center"/>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72" fillId="0" borderId="0" xfId="0" applyFont="1" applyAlignment="1">
      <alignment horizontal="left" vertical="center"/>
    </xf>
    <xf numFmtId="0" fontId="75" fillId="0" borderId="0" xfId="0" applyFont="1" applyAlignment="1">
      <alignment horizontal="left" vertical="center"/>
    </xf>
    <xf numFmtId="0" fontId="69" fillId="0" borderId="0" xfId="0" applyFont="1" applyAlignment="1">
      <alignment horizontal="left" vertical="center" wrapText="1"/>
    </xf>
    <xf numFmtId="0" fontId="37"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19" fillId="6" borderId="0" xfId="0" applyFont="1" applyFill="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29" fillId="0" borderId="0" xfId="0" applyFont="1" applyAlignment="1">
      <alignment horizontal="left" vertical="center"/>
    </xf>
    <xf numFmtId="0" fontId="55" fillId="0" borderId="0" xfId="0" applyFont="1" applyAlignment="1">
      <alignment horizontal="left" vertical="center"/>
    </xf>
    <xf numFmtId="0" fontId="65" fillId="0" borderId="0" xfId="0" applyFont="1" applyAlignment="1">
      <alignment horizontal="left" vertical="center"/>
    </xf>
    <xf numFmtId="0" fontId="67"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58" fillId="0" borderId="0" xfId="0" applyFont="1" applyAlignment="1">
      <alignment horizontal="center" vertical="center" wrapText="1"/>
    </xf>
    <xf numFmtId="0" fontId="53" fillId="0" borderId="0" xfId="0" applyFont="1" applyAlignment="1">
      <alignment horizontal="center" vertical="center" wrapText="1"/>
    </xf>
    <xf numFmtId="0" fontId="56" fillId="0" borderId="0" xfId="0" applyFont="1" applyAlignment="1">
      <alignment horizontal="center" vertical="center" wrapText="1"/>
    </xf>
    <xf numFmtId="0" fontId="7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11" xfId="0" applyFont="1" applyBorder="1" applyAlignment="1">
      <alignment horizontal="lef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3" fillId="0" borderId="1" xfId="0" applyFont="1" applyBorder="1" applyAlignment="1">
      <alignment horizontal="left"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17" xfId="0" applyFont="1" applyBorder="1" applyAlignment="1">
      <alignment horizontal="center" vertical="center"/>
    </xf>
    <xf numFmtId="0" fontId="19" fillId="0" borderId="17" xfId="0" applyFont="1" applyBorder="1" applyAlignment="1">
      <alignment horizontal="center"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42" fontId="19" fillId="6" borderId="1" xfId="0" applyNumberFormat="1" applyFont="1" applyFill="1" applyBorder="1" applyAlignment="1">
      <alignment horizontal="right" vertical="center"/>
    </xf>
    <xf numFmtId="0" fontId="19" fillId="0" borderId="1" xfId="0" applyFont="1" applyBorder="1" applyAlignment="1">
      <alignment horizontal="center" vertical="center"/>
    </xf>
    <xf numFmtId="0" fontId="23" fillId="0" borderId="17" xfId="0" quotePrefix="1"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42" fontId="19" fillId="7" borderId="1" xfId="0" applyNumberFormat="1" applyFont="1" applyFill="1" applyBorder="1" applyAlignment="1" applyProtection="1">
      <alignment horizontal="right" vertical="center"/>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0" fillId="0" borderId="3" xfId="0" applyBorder="1" applyAlignment="1">
      <alignment horizontal="left" vertical="center" wrapText="1"/>
    </xf>
    <xf numFmtId="0" fontId="19" fillId="0" borderId="3" xfId="0" applyFont="1" applyBorder="1" applyAlignment="1">
      <alignment horizontal="left" vertical="center" wrapText="1"/>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19" fillId="0" borderId="1" xfId="0" applyFont="1" applyBorder="1" applyAlignment="1">
      <alignment horizontal="lef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20" fillId="11" borderId="1" xfId="0" applyNumberFormat="1" applyFont="1" applyFill="1" applyBorder="1" applyAlignment="1" applyProtection="1">
      <alignment horizontal="right" vertical="center"/>
      <protection locked="0"/>
    </xf>
    <xf numFmtId="42" fontId="20" fillId="11" borderId="2" xfId="0" applyNumberFormat="1" applyFont="1" applyFill="1" applyBorder="1" applyAlignment="1" applyProtection="1">
      <alignment horizontal="right" vertical="center"/>
      <protection locked="0"/>
    </xf>
    <xf numFmtId="42" fontId="20" fillId="11" borderId="3" xfId="0" applyNumberFormat="1" applyFont="1" applyFill="1" applyBorder="1" applyAlignment="1" applyProtection="1">
      <alignment horizontal="right" vertical="center"/>
      <protection locked="0"/>
    </xf>
    <xf numFmtId="0" fontId="10" fillId="11" borderId="2" xfId="0" applyFont="1" applyFill="1" applyBorder="1" applyAlignment="1" applyProtection="1">
      <alignment horizontal="right" vertical="center"/>
      <protection locked="0"/>
    </xf>
    <xf numFmtId="0" fontId="10" fillId="11" borderId="3" xfId="0" applyFont="1" applyFill="1" applyBorder="1" applyAlignment="1" applyProtection="1">
      <alignment horizontal="right" vertical="center"/>
      <protection locked="0"/>
    </xf>
    <xf numFmtId="42" fontId="41" fillId="6" borderId="1" xfId="0" applyNumberFormat="1" applyFont="1" applyFill="1" applyBorder="1" applyAlignment="1">
      <alignment horizontal="right" vertical="center"/>
    </xf>
    <xf numFmtId="0" fontId="68" fillId="0" borderId="2" xfId="0" applyFont="1" applyBorder="1" applyAlignment="1">
      <alignment horizontal="right" vertical="center"/>
    </xf>
    <xf numFmtId="0" fontId="68" fillId="0" borderId="3" xfId="0" applyFont="1" applyBorder="1" applyAlignment="1">
      <alignment horizontal="right" vertical="center"/>
    </xf>
    <xf numFmtId="42" fontId="82" fillId="0" borderId="17" xfId="0" applyNumberFormat="1" applyFont="1" applyBorder="1" applyAlignment="1">
      <alignment horizontal="left" vertical="center"/>
    </xf>
    <xf numFmtId="0" fontId="84" fillId="0" borderId="17" xfId="0" applyFont="1" applyBorder="1" applyAlignment="1">
      <alignment horizontal="left" vertical="center"/>
    </xf>
    <xf numFmtId="42" fontId="23" fillId="7" borderId="17" xfId="0" applyNumberFormat="1" applyFont="1" applyFill="1" applyBorder="1" applyAlignment="1" applyProtection="1">
      <alignment horizontal="right" vertical="center"/>
      <protection locked="0"/>
    </xf>
    <xf numFmtId="0" fontId="0" fillId="11" borderId="2" xfId="0" applyFill="1" applyBorder="1" applyAlignment="1" applyProtection="1">
      <alignment horizontal="right" vertical="center"/>
      <protection locked="0"/>
    </xf>
    <xf numFmtId="0" fontId="0" fillId="11" borderId="3" xfId="0" applyFill="1" applyBorder="1" applyAlignment="1" applyProtection="1">
      <alignment horizontal="right" vertical="center"/>
      <protection locked="0"/>
    </xf>
    <xf numFmtId="0" fontId="0" fillId="0" borderId="10" xfId="0" applyBorder="1" applyAlignment="1">
      <alignment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2" fontId="8" fillId="7" borderId="17" xfId="0" applyNumberFormat="1" applyFont="1" applyFill="1" applyBorder="1" applyAlignment="1" applyProtection="1">
      <alignment horizontal="right" vertical="center"/>
      <protection locked="0"/>
    </xf>
    <xf numFmtId="0" fontId="23" fillId="0" borderId="17" xfId="0" applyFont="1" applyBorder="1" applyAlignment="1">
      <alignment horizontal="left" vertical="center"/>
    </xf>
    <xf numFmtId="49" fontId="23" fillId="0" borderId="4" xfId="0" applyNumberFormat="1" applyFont="1" applyBorder="1" applyAlignment="1">
      <alignment horizontal="left" vertical="center" wrapText="1"/>
    </xf>
    <xf numFmtId="0" fontId="0" fillId="0" borderId="6" xfId="0" applyBorder="1" applyAlignment="1">
      <alignment horizontal="left" vertical="center"/>
    </xf>
    <xf numFmtId="0" fontId="19" fillId="0" borderId="17" xfId="0" applyFont="1" applyBorder="1" applyAlignment="1">
      <alignment horizontal="left" vertical="center" wrapText="1"/>
    </xf>
    <xf numFmtId="0" fontId="20" fillId="0" borderId="17" xfId="0" applyFont="1" applyBorder="1" applyAlignment="1">
      <alignment horizontal="left" vertical="center" wrapText="1"/>
    </xf>
    <xf numFmtId="42" fontId="42" fillId="6" borderId="1" xfId="0" applyNumberFormat="1" applyFont="1" applyFill="1" applyBorder="1" applyAlignment="1">
      <alignment horizontal="right" vertical="center"/>
    </xf>
    <xf numFmtId="0" fontId="76" fillId="0" borderId="2" xfId="0" applyFont="1" applyBorder="1" applyAlignment="1">
      <alignment horizontal="right" vertical="center"/>
    </xf>
    <xf numFmtId="0" fontId="76" fillId="0" borderId="3" xfId="0" applyFont="1" applyBorder="1" applyAlignment="1">
      <alignment horizontal="right" vertical="center"/>
    </xf>
    <xf numFmtId="42" fontId="8" fillId="6" borderId="17" xfId="0" applyNumberFormat="1" applyFont="1" applyFill="1" applyBorder="1" applyAlignment="1">
      <alignment horizontal="right" vertical="center"/>
    </xf>
    <xf numFmtId="0" fontId="0" fillId="0" borderId="2" xfId="0" applyBorder="1" applyAlignment="1">
      <alignment horizontal="center" vertical="center"/>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42" fontId="77" fillId="6" borderId="1" xfId="0" applyNumberFormat="1" applyFont="1" applyFill="1" applyBorder="1" applyAlignment="1">
      <alignment horizontal="right" vertical="center"/>
    </xf>
    <xf numFmtId="42" fontId="78" fillId="0" borderId="2" xfId="0" applyNumberFormat="1" applyFont="1" applyBorder="1" applyAlignment="1">
      <alignment horizontal="right" vertical="center"/>
    </xf>
    <xf numFmtId="42" fontId="78" fillId="0" borderId="3" xfId="0" applyNumberFormat="1" applyFont="1" applyBorder="1" applyAlignment="1">
      <alignment horizontal="righ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42" fontId="24" fillId="0" borderId="17" xfId="0" applyNumberFormat="1" applyFont="1" applyBorder="1" applyAlignment="1">
      <alignment horizontal="left" vertical="center"/>
    </xf>
    <xf numFmtId="0" fontId="73" fillId="0" borderId="17" xfId="0" applyFont="1" applyBorder="1" applyAlignment="1">
      <alignment horizontal="left" vertical="center"/>
    </xf>
    <xf numFmtId="49" fontId="23" fillId="0" borderId="1" xfId="0" applyNumberFormat="1" applyFont="1" applyBorder="1" applyAlignment="1">
      <alignment horizontal="center" vertical="center"/>
    </xf>
    <xf numFmtId="0" fontId="66" fillId="0" borderId="0" xfId="0" applyFont="1"/>
    <xf numFmtId="0" fontId="68" fillId="7" borderId="2" xfId="0" applyFont="1" applyFill="1" applyBorder="1" applyAlignment="1" applyProtection="1">
      <alignment horizontal="left" vertical="center" wrapText="1"/>
      <protection locked="0"/>
    </xf>
    <xf numFmtId="0" fontId="68" fillId="7" borderId="3" xfId="0" applyFont="1" applyFill="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3" fillId="0" borderId="2" xfId="0" applyFont="1" applyBorder="1" applyAlignment="1">
      <alignment horizontal="left" vertical="center" wrapText="1"/>
    </xf>
    <xf numFmtId="0" fontId="73" fillId="0" borderId="3" xfId="0" applyFont="1" applyBorder="1" applyAlignment="1">
      <alignment horizontal="left" vertical="center" wrapText="1"/>
    </xf>
    <xf numFmtId="0" fontId="24" fillId="7" borderId="1"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79" fillId="0" borderId="1" xfId="0" applyFont="1" applyBorder="1" applyAlignment="1">
      <alignment horizontal="left" vertical="center" wrapText="1"/>
    </xf>
    <xf numFmtId="0" fontId="79" fillId="0" borderId="2" xfId="0" applyFont="1" applyBorder="1" applyAlignment="1">
      <alignment horizontal="left" vertical="center" wrapText="1"/>
    </xf>
    <xf numFmtId="0" fontId="79" fillId="0" borderId="3" xfId="0" applyFont="1" applyBorder="1" applyAlignment="1">
      <alignment horizontal="left" vertical="center" wrapText="1"/>
    </xf>
    <xf numFmtId="0" fontId="0" fillId="6" borderId="0" xfId="0" applyFill="1" applyAlignment="1">
      <alignment horizontal="left" vertical="center"/>
    </xf>
    <xf numFmtId="42" fontId="19" fillId="6" borderId="17" xfId="0" applyNumberFormat="1" applyFont="1" applyFill="1" applyBorder="1" applyAlignment="1">
      <alignment horizontal="righ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80" fillId="0" borderId="1" xfId="0" applyFont="1" applyBorder="1" applyAlignment="1">
      <alignment horizontal="left" vertical="center"/>
    </xf>
    <xf numFmtId="0" fontId="81" fillId="0" borderId="2" xfId="0" applyFont="1" applyBorder="1" applyAlignment="1">
      <alignment horizontal="left" vertical="center"/>
    </xf>
    <xf numFmtId="0" fontId="81" fillId="0" borderId="3" xfId="0" applyFont="1" applyBorder="1" applyAlignment="1">
      <alignment horizontal="left" vertical="center"/>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2" fontId="19" fillId="7" borderId="17" xfId="0" applyNumberFormat="1" applyFont="1" applyFill="1" applyBorder="1" applyAlignment="1" applyProtection="1">
      <alignment horizontal="right" vertical="center"/>
      <protection locked="0"/>
    </xf>
    <xf numFmtId="0" fontId="83" fillId="0" borderId="0" xfId="0" applyFont="1" applyAlignment="1">
      <alignment horizontal="left" vertical="center" wrapText="1"/>
    </xf>
    <xf numFmtId="0" fontId="10" fillId="0" borderId="0" xfId="0" applyFont="1" applyAlignment="1">
      <alignment horizontal="left" vertical="center" wrapText="1"/>
    </xf>
    <xf numFmtId="0" fontId="35" fillId="0" borderId="0" xfId="0" applyFont="1" applyAlignment="1">
      <alignment horizontal="left" vertical="center" wrapText="1"/>
    </xf>
    <xf numFmtId="0" fontId="65" fillId="0" borderId="0" xfId="0" applyFont="1" applyAlignment="1">
      <alignment horizontal="left" vertical="center" wrapText="1"/>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2" fillId="0" borderId="0" xfId="0" applyFont="1"/>
    <xf numFmtId="0" fontId="3" fillId="3" borderId="0" xfId="0" applyFont="1" applyFill="1" applyAlignment="1">
      <alignment horizontal="left" vertical="center"/>
    </xf>
    <xf numFmtId="0" fontId="15" fillId="0" borderId="16"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left" vertical="center"/>
    </xf>
    <xf numFmtId="0" fontId="0" fillId="0" borderId="17" xfId="0" applyBorder="1"/>
    <xf numFmtId="0" fontId="0" fillId="0" borderId="1" xfId="0" applyBorder="1" applyAlignment="1">
      <alignment horizontal="left" vertical="center"/>
    </xf>
    <xf numFmtId="0" fontId="3" fillId="3" borderId="17" xfId="0" applyFont="1" applyFill="1" applyBorder="1" applyAlignment="1">
      <alignment horizontal="left" vertical="center"/>
    </xf>
    <xf numFmtId="0" fontId="15" fillId="0" borderId="17" xfId="0" applyFont="1" applyBorder="1" applyAlignment="1">
      <alignment horizontal="left"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2" fillId="0" borderId="0" xfId="0" applyFont="1" applyAlignment="1">
      <alignment horizontal="left" vertical="center"/>
    </xf>
    <xf numFmtId="0" fontId="0" fillId="0" borderId="0" xfId="0"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justify" vertical="justify" wrapText="1"/>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0" xfId="0" applyFont="1" applyAlignment="1">
      <alignment horizontal="center" vertical="center"/>
    </xf>
    <xf numFmtId="0" fontId="0" fillId="3" borderId="0" xfId="0" applyFill="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0" fontId="10" fillId="0" borderId="2" xfId="0" applyFont="1" applyBorder="1" applyAlignment="1">
      <alignment horizontal="lef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43" fillId="0" borderId="0" xfId="0" applyFont="1" applyAlignment="1">
      <alignment horizontal="left" vertical="center"/>
    </xf>
    <xf numFmtId="0" fontId="57" fillId="0" borderId="0" xfId="0" applyFont="1" applyAlignment="1">
      <alignment horizontal="left" vertical="center"/>
    </xf>
    <xf numFmtId="0" fontId="0" fillId="0" borderId="10" xfId="0" applyBorder="1" applyAlignment="1">
      <alignment horizontal="center" vertical="center"/>
    </xf>
    <xf numFmtId="0" fontId="59"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0" fontId="10" fillId="0" borderId="3" xfId="0" applyFont="1" applyBorder="1" applyAlignment="1">
      <alignment horizontal="left" vertical="center" wrapText="1"/>
    </xf>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8" fillId="0" borderId="17" xfId="0" applyFont="1" applyBorder="1" applyAlignment="1">
      <alignment horizontal="center" vertical="center"/>
    </xf>
    <xf numFmtId="0" fontId="19" fillId="6" borderId="1" xfId="0" quotePrefix="1" applyFont="1" applyFill="1" applyBorder="1" applyAlignment="1">
      <alignment horizontal="left" vertical="center"/>
    </xf>
    <xf numFmtId="0" fontId="8" fillId="6" borderId="0" xfId="0" applyFont="1" applyFill="1" applyAlignment="1">
      <alignment horizontal="left" vertical="center"/>
    </xf>
    <xf numFmtId="0" fontId="0" fillId="0" borderId="2" xfId="0" applyBorder="1"/>
    <xf numFmtId="0" fontId="0" fillId="0" borderId="8" xfId="0" applyBorder="1" applyAlignment="1">
      <alignment horizontal="center" vertical="center" wrapText="1"/>
    </xf>
    <xf numFmtId="0" fontId="19" fillId="6" borderId="0" xfId="0" applyFont="1" applyFill="1"/>
    <xf numFmtId="0" fontId="0" fillId="6" borderId="0" xfId="0" applyFill="1"/>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wrapText="1"/>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Light16"/>
  <colors>
    <mruColors>
      <color rgb="FFC5D9F1"/>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74"/>
  <sheetViews>
    <sheetView showGridLines="0" showRowColHeaders="0" tabSelected="1" workbookViewId="0">
      <selection activeCell="V3" sqref="V3:BA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BD2" s="128" t="s">
        <v>239</v>
      </c>
      <c r="BE2" s="128"/>
      <c r="BF2" s="128"/>
      <c r="BG2" s="128"/>
      <c r="BH2" s="128"/>
      <c r="BI2" s="128"/>
      <c r="BJ2" s="128"/>
    </row>
    <row r="3" spans="3:63" ht="22.5" customHeight="1" x14ac:dyDescent="0.25">
      <c r="C3" s="109" t="s">
        <v>235</v>
      </c>
      <c r="D3" s="109"/>
      <c r="E3" s="109"/>
      <c r="F3" s="109"/>
      <c r="G3" s="109"/>
      <c r="H3" s="109"/>
      <c r="I3" s="109"/>
      <c r="J3" s="110"/>
      <c r="K3" s="110"/>
      <c r="L3" s="110" t="s">
        <v>5</v>
      </c>
      <c r="M3" s="110"/>
      <c r="N3" s="110"/>
      <c r="O3" s="110"/>
      <c r="P3" s="110"/>
      <c r="Q3" s="110"/>
      <c r="R3" s="110"/>
      <c r="S3" s="110"/>
      <c r="T3" s="110"/>
      <c r="U3" s="4" t="s">
        <v>5</v>
      </c>
      <c r="V3" s="124"/>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6"/>
      <c r="BD3" s="128"/>
      <c r="BE3" s="128"/>
      <c r="BF3" s="128"/>
      <c r="BG3" s="128"/>
      <c r="BH3" s="128"/>
      <c r="BI3" s="128"/>
      <c r="BJ3" s="128"/>
    </row>
    <row r="4" spans="3:63" ht="6.75" customHeight="1" x14ac:dyDescent="0.25">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D4" s="128"/>
      <c r="BE4" s="128"/>
      <c r="BF4" s="128"/>
      <c r="BG4" s="128"/>
      <c r="BH4" s="128"/>
      <c r="BI4" s="128"/>
      <c r="BJ4" s="128"/>
    </row>
    <row r="5" spans="3:63" ht="8.25" customHeight="1" x14ac:dyDescent="0.25">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D5" s="128"/>
      <c r="BE5" s="128"/>
      <c r="BF5" s="128"/>
      <c r="BG5" s="128"/>
      <c r="BH5" s="128"/>
      <c r="BI5" s="128"/>
      <c r="BJ5" s="128"/>
    </row>
    <row r="6" spans="3:63" ht="18" customHeight="1" x14ac:dyDescent="0.25">
      <c r="C6" s="109" t="s">
        <v>13</v>
      </c>
      <c r="D6" s="109"/>
      <c r="E6" s="109"/>
      <c r="F6" s="109"/>
      <c r="G6" s="109"/>
      <c r="H6" s="109"/>
      <c r="I6" s="109"/>
      <c r="J6" s="110"/>
      <c r="K6" s="4" t="s">
        <v>5</v>
      </c>
      <c r="L6" s="102"/>
      <c r="M6" s="103"/>
      <c r="N6" s="103"/>
      <c r="O6" s="103"/>
      <c r="P6" s="103"/>
      <c r="Q6" s="103"/>
      <c r="R6" s="103"/>
      <c r="S6" s="103"/>
      <c r="T6" s="103"/>
      <c r="U6" s="103"/>
      <c r="V6" s="103"/>
      <c r="W6" s="103"/>
      <c r="X6" s="103"/>
      <c r="Y6" s="103"/>
      <c r="Z6" s="103"/>
      <c r="AA6" s="103"/>
      <c r="AB6" s="104"/>
      <c r="AC6" s="89"/>
      <c r="AD6" s="109" t="s">
        <v>105</v>
      </c>
      <c r="AE6" s="110"/>
      <c r="AF6" s="110"/>
      <c r="AG6" s="110"/>
      <c r="AH6" s="110"/>
      <c r="AI6" s="110"/>
      <c r="AJ6" s="4" t="s">
        <v>5</v>
      </c>
      <c r="AK6" s="102"/>
      <c r="AL6" s="112"/>
      <c r="AM6" s="112"/>
      <c r="AN6" s="112"/>
      <c r="AO6" s="112"/>
      <c r="AP6" s="112"/>
      <c r="AQ6" s="112"/>
      <c r="AR6" s="112"/>
      <c r="AS6" s="112"/>
      <c r="AT6" s="112"/>
      <c r="AU6" s="112"/>
      <c r="AV6" s="112"/>
      <c r="AW6" s="112"/>
      <c r="AX6" s="112"/>
      <c r="AY6" s="112"/>
      <c r="AZ6" s="113"/>
      <c r="BA6" s="89"/>
      <c r="BB6" s="70"/>
      <c r="BC6" s="70"/>
      <c r="BD6" s="128"/>
      <c r="BE6" s="128"/>
      <c r="BF6" s="128"/>
      <c r="BG6" s="128"/>
      <c r="BH6" s="128"/>
      <c r="BI6" s="128"/>
      <c r="BJ6" s="128"/>
    </row>
    <row r="7" spans="3:63" ht="9" customHeight="1" x14ac:dyDescent="0.25">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D7" s="128"/>
      <c r="BE7" s="128"/>
      <c r="BF7" s="128"/>
      <c r="BG7" s="128"/>
      <c r="BH7" s="128"/>
      <c r="BI7" s="128"/>
      <c r="BJ7" s="128"/>
      <c r="BK7" s="41" t="s">
        <v>145</v>
      </c>
    </row>
    <row r="8" spans="3:63" ht="18" customHeight="1" x14ac:dyDescent="0.25">
      <c r="C8" s="109" t="s">
        <v>113</v>
      </c>
      <c r="D8" s="109"/>
      <c r="E8" s="109"/>
      <c r="F8" s="109"/>
      <c r="G8" s="109"/>
      <c r="H8" s="109"/>
      <c r="I8" s="109"/>
      <c r="J8" s="110"/>
      <c r="K8" s="4" t="s">
        <v>5</v>
      </c>
      <c r="L8" s="102"/>
      <c r="M8" s="112"/>
      <c r="N8" s="112"/>
      <c r="O8" s="112"/>
      <c r="P8" s="112"/>
      <c r="Q8" s="112"/>
      <c r="R8" s="112"/>
      <c r="S8" s="112"/>
      <c r="T8" s="112"/>
      <c r="U8" s="112"/>
      <c r="V8" s="112"/>
      <c r="W8" s="112"/>
      <c r="X8" s="112"/>
      <c r="Y8" s="112"/>
      <c r="Z8" s="112"/>
      <c r="AA8" s="112"/>
      <c r="AB8" s="113"/>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D8" s="127" t="s">
        <v>21</v>
      </c>
      <c r="BE8" s="127"/>
      <c r="BF8" s="127"/>
      <c r="BG8" s="127"/>
      <c r="BH8" s="127"/>
      <c r="BI8" s="127"/>
      <c r="BJ8" s="127"/>
      <c r="BK8" s="41" t="s">
        <v>146</v>
      </c>
    </row>
    <row r="9" spans="3:63" ht="9" customHeight="1" x14ac:dyDescent="0.25">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D9" s="127"/>
      <c r="BE9" s="127"/>
      <c r="BF9" s="127"/>
      <c r="BG9" s="127"/>
      <c r="BH9" s="127"/>
      <c r="BI9" s="127"/>
      <c r="BJ9" s="127"/>
      <c r="BK9" s="41" t="s">
        <v>147</v>
      </c>
    </row>
    <row r="10" spans="3:63" ht="18" customHeight="1" x14ac:dyDescent="0.25">
      <c r="C10" s="109" t="s">
        <v>15</v>
      </c>
      <c r="D10" s="109"/>
      <c r="E10" s="109"/>
      <c r="F10" s="109"/>
      <c r="G10" s="109"/>
      <c r="H10" s="109"/>
      <c r="I10" s="109"/>
      <c r="J10" s="110"/>
      <c r="K10" s="4" t="s">
        <v>5</v>
      </c>
      <c r="L10" s="111"/>
      <c r="M10" s="112"/>
      <c r="N10" s="112"/>
      <c r="O10" s="112"/>
      <c r="P10" s="112"/>
      <c r="Q10" s="112"/>
      <c r="R10" s="112"/>
      <c r="S10" s="112"/>
      <c r="T10" s="112"/>
      <c r="U10" s="112"/>
      <c r="V10" s="112"/>
      <c r="W10" s="112"/>
      <c r="X10" s="112"/>
      <c r="Y10" s="112"/>
      <c r="Z10" s="112"/>
      <c r="AA10" s="112"/>
      <c r="AB10" s="113"/>
      <c r="AC10" s="91"/>
      <c r="AD10" s="109" t="s">
        <v>112</v>
      </c>
      <c r="AE10" s="110"/>
      <c r="AF10" s="110"/>
      <c r="AG10" s="110"/>
      <c r="AH10" s="110"/>
      <c r="AI10" s="110"/>
      <c r="AJ10" s="110"/>
      <c r="AK10" s="110"/>
      <c r="AL10" s="110"/>
      <c r="AM10" s="4" t="s">
        <v>5</v>
      </c>
      <c r="AN10" s="102"/>
      <c r="AO10" s="103"/>
      <c r="AP10" s="103"/>
      <c r="AQ10" s="103"/>
      <c r="AR10" s="103"/>
      <c r="AS10" s="103"/>
      <c r="AT10" s="103"/>
      <c r="AU10" s="103"/>
      <c r="AV10" s="103"/>
      <c r="AW10" s="103"/>
      <c r="AX10" s="103"/>
      <c r="AY10" s="103"/>
      <c r="AZ10" s="104"/>
      <c r="BA10" s="91"/>
      <c r="BD10" s="129" t="s">
        <v>120</v>
      </c>
      <c r="BE10" s="129"/>
      <c r="BF10" s="129"/>
      <c r="BG10" s="129"/>
      <c r="BH10" s="129"/>
      <c r="BI10" s="129"/>
      <c r="BJ10" s="129"/>
      <c r="BK10" s="41" t="s">
        <v>148</v>
      </c>
    </row>
    <row r="11" spans="3:63" ht="10.5" customHeight="1" x14ac:dyDescent="0.25">
      <c r="C11" s="91"/>
      <c r="D11" s="91"/>
      <c r="E11" s="91"/>
      <c r="F11" s="91"/>
      <c r="G11" s="92" t="s">
        <v>115</v>
      </c>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D11" s="129"/>
      <c r="BE11" s="129"/>
      <c r="BF11" s="129"/>
      <c r="BG11" s="129"/>
      <c r="BH11" s="129"/>
      <c r="BI11" s="129"/>
      <c r="BJ11" s="129"/>
      <c r="BK11" s="41" t="s">
        <v>149</v>
      </c>
    </row>
    <row r="12" spans="3:63" ht="13.95" customHeight="1" x14ac:dyDescent="0.25">
      <c r="C12" s="105" t="s">
        <v>215</v>
      </c>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91"/>
      <c r="AF12" s="107" t="s">
        <v>5</v>
      </c>
      <c r="AG12" s="96" t="s">
        <v>114</v>
      </c>
      <c r="AH12" s="97"/>
      <c r="AI12" s="97"/>
      <c r="AJ12" s="97"/>
      <c r="AK12" s="97"/>
      <c r="AL12" s="98"/>
      <c r="AM12" s="91"/>
      <c r="AN12" s="91"/>
      <c r="AO12" s="91"/>
      <c r="AP12" s="91"/>
      <c r="AQ12" s="91"/>
      <c r="AR12" s="91"/>
      <c r="AS12" s="91"/>
      <c r="AT12" s="91"/>
      <c r="AU12" s="91"/>
      <c r="AV12" s="91"/>
      <c r="AW12" s="91"/>
      <c r="AX12" s="91"/>
      <c r="AY12" s="91"/>
      <c r="AZ12" s="91"/>
      <c r="BA12" s="91"/>
      <c r="BD12" s="130" t="s">
        <v>36</v>
      </c>
      <c r="BE12" s="131"/>
      <c r="BF12" s="131"/>
      <c r="BG12" s="131"/>
      <c r="BH12" s="131"/>
      <c r="BI12" s="131"/>
      <c r="BJ12" s="131"/>
      <c r="BK12" s="41" t="s">
        <v>150</v>
      </c>
    </row>
    <row r="13" spans="3:63" ht="13.95" customHeight="1" x14ac:dyDescent="0.25">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91"/>
      <c r="AF13" s="108"/>
      <c r="AG13" s="99"/>
      <c r="AH13" s="100"/>
      <c r="AI13" s="100"/>
      <c r="AJ13" s="100"/>
      <c r="AK13" s="100"/>
      <c r="AL13" s="101"/>
      <c r="AM13" s="91"/>
      <c r="AN13" s="91"/>
      <c r="AO13" s="91"/>
      <c r="AP13" s="91"/>
      <c r="AQ13" s="91"/>
      <c r="AR13" s="91"/>
      <c r="AS13" s="91"/>
      <c r="AT13" s="91"/>
      <c r="AU13" s="91"/>
      <c r="AV13" s="91"/>
      <c r="AW13" s="91"/>
      <c r="AX13" s="91"/>
      <c r="AY13" s="91"/>
      <c r="AZ13" s="91"/>
      <c r="BA13" s="91"/>
      <c r="BD13" s="131"/>
      <c r="BE13" s="131"/>
      <c r="BF13" s="131"/>
      <c r="BG13" s="131"/>
      <c r="BH13" s="131"/>
      <c r="BI13" s="131"/>
      <c r="BJ13" s="131"/>
      <c r="BK13" s="41" t="s">
        <v>7</v>
      </c>
    </row>
    <row r="14" spans="3:63" ht="10.5" customHeight="1" x14ac:dyDescent="0.6">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1"/>
      <c r="AN14" s="91"/>
      <c r="AO14" s="91"/>
      <c r="AP14" s="91"/>
      <c r="AQ14" s="91"/>
      <c r="AR14" s="91"/>
      <c r="AS14" s="91"/>
      <c r="AT14" s="91"/>
      <c r="AU14" s="91"/>
      <c r="AV14" s="91"/>
      <c r="AW14" s="91"/>
      <c r="AX14" s="91"/>
      <c r="AY14" s="91"/>
      <c r="AZ14" s="91"/>
      <c r="BA14" s="91"/>
      <c r="BD14" s="94"/>
      <c r="BE14" s="116" t="s">
        <v>126</v>
      </c>
      <c r="BF14" s="117"/>
      <c r="BG14" s="117"/>
      <c r="BH14" s="117"/>
      <c r="BI14" s="117"/>
      <c r="BK14" s="41" t="s">
        <v>151</v>
      </c>
    </row>
    <row r="15" spans="3:63" ht="13.95" customHeight="1" x14ac:dyDescent="0.3">
      <c r="C15" s="105" t="s">
        <v>216</v>
      </c>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91"/>
      <c r="AF15" s="107" t="s">
        <v>5</v>
      </c>
      <c r="AG15" s="96" t="s">
        <v>114</v>
      </c>
      <c r="AH15" s="97"/>
      <c r="AI15" s="97"/>
      <c r="AJ15" s="97"/>
      <c r="AK15" s="97"/>
      <c r="AL15" s="98"/>
      <c r="AM15" s="91"/>
      <c r="AN15" s="91"/>
      <c r="AO15" s="91"/>
      <c r="AP15" s="91"/>
      <c r="AQ15" s="91"/>
      <c r="AR15" s="91"/>
      <c r="AS15" s="91"/>
      <c r="AT15" s="91"/>
      <c r="AU15" s="91"/>
      <c r="AV15" s="91"/>
      <c r="AW15" s="91"/>
      <c r="AX15" s="91"/>
      <c r="AY15" s="91"/>
      <c r="AZ15" s="91"/>
      <c r="BA15" s="91"/>
      <c r="BD15" s="6"/>
      <c r="BE15" s="117"/>
      <c r="BF15" s="117"/>
      <c r="BG15" s="117"/>
      <c r="BH15" s="117"/>
      <c r="BI15" s="117"/>
      <c r="BK15" s="41" t="s">
        <v>154</v>
      </c>
    </row>
    <row r="16" spans="3:63" ht="13.95" customHeight="1" x14ac:dyDescent="0.2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91"/>
      <c r="AF16" s="108"/>
      <c r="AG16" s="99"/>
      <c r="AH16" s="100"/>
      <c r="AI16" s="100"/>
      <c r="AJ16" s="100"/>
      <c r="AK16" s="100"/>
      <c r="AL16" s="101"/>
      <c r="AM16" s="91"/>
      <c r="AN16" s="91"/>
      <c r="AO16" s="91"/>
      <c r="AP16" s="91"/>
      <c r="AQ16" s="91"/>
      <c r="AR16" s="91"/>
      <c r="AS16" s="91"/>
      <c r="AT16" s="91"/>
      <c r="AU16" s="91"/>
      <c r="AV16" s="91"/>
      <c r="AW16" s="91"/>
      <c r="AX16" s="91"/>
      <c r="AY16" s="91"/>
      <c r="AZ16" s="91"/>
      <c r="BA16" s="91"/>
      <c r="BK16" s="41" t="s">
        <v>152</v>
      </c>
    </row>
    <row r="17" spans="3:63" ht="10.5" customHeight="1" x14ac:dyDescent="0.25">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E17" s="114" t="s">
        <v>237</v>
      </c>
      <c r="BF17" s="114"/>
      <c r="BG17" s="114"/>
      <c r="BH17" s="114"/>
      <c r="BI17" s="114"/>
      <c r="BK17" s="41" t="s">
        <v>153</v>
      </c>
    </row>
    <row r="18" spans="3:63" ht="13.95" customHeight="1" x14ac:dyDescent="0.25">
      <c r="C18" s="105" t="s">
        <v>217</v>
      </c>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91"/>
      <c r="AF18" s="107" t="s">
        <v>5</v>
      </c>
      <c r="AG18" s="96" t="s">
        <v>114</v>
      </c>
      <c r="AH18" s="97"/>
      <c r="AI18" s="97"/>
      <c r="AJ18" s="97"/>
      <c r="AK18" s="97"/>
      <c r="AL18" s="98"/>
      <c r="AM18" s="91"/>
      <c r="AN18" s="91"/>
      <c r="AO18" s="91"/>
      <c r="AP18" s="91"/>
      <c r="AQ18" s="91"/>
      <c r="AR18" s="91"/>
      <c r="AS18" s="91"/>
      <c r="AT18" s="91"/>
      <c r="AU18" s="91"/>
      <c r="AV18" s="91"/>
      <c r="AW18" s="91"/>
      <c r="AX18" s="91"/>
      <c r="AY18" s="91"/>
      <c r="AZ18" s="91"/>
      <c r="BA18" s="91"/>
      <c r="BE18" s="114"/>
      <c r="BF18" s="114"/>
      <c r="BG18" s="114"/>
      <c r="BH18" s="114"/>
      <c r="BI18" s="114"/>
    </row>
    <row r="19" spans="3:63" ht="13.95" customHeight="1" x14ac:dyDescent="0.25">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91"/>
      <c r="AF19" s="108"/>
      <c r="AG19" s="99"/>
      <c r="AH19" s="100"/>
      <c r="AI19" s="100"/>
      <c r="AJ19" s="100"/>
      <c r="AK19" s="100"/>
      <c r="AL19" s="101"/>
      <c r="AM19" s="91"/>
      <c r="AN19" s="91"/>
      <c r="AO19" s="91"/>
      <c r="AP19" s="91"/>
      <c r="AQ19" s="91"/>
      <c r="AR19" s="91"/>
      <c r="AS19" s="91"/>
      <c r="AT19" s="91"/>
      <c r="AU19" s="91"/>
      <c r="AV19" s="91"/>
      <c r="AW19" s="91"/>
      <c r="AX19" s="91"/>
      <c r="AY19" s="91"/>
      <c r="AZ19" s="91"/>
      <c r="BA19" s="91"/>
      <c r="BE19" s="114"/>
      <c r="BF19" s="114"/>
      <c r="BG19" s="114"/>
      <c r="BH19" s="114"/>
      <c r="BI19" s="114"/>
    </row>
    <row r="20" spans="3:63" ht="10.5" customHeight="1" x14ac:dyDescent="0.25">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E20" s="114"/>
      <c r="BF20" s="114"/>
      <c r="BG20" s="114"/>
      <c r="BH20" s="114"/>
      <c r="BI20" s="114"/>
    </row>
    <row r="21" spans="3:63" ht="13.95" customHeight="1" x14ac:dyDescent="0.25">
      <c r="C21" s="105" t="s">
        <v>160</v>
      </c>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91"/>
      <c r="AF21" s="107" t="s">
        <v>5</v>
      </c>
      <c r="AG21" s="96" t="s">
        <v>114</v>
      </c>
      <c r="AH21" s="97"/>
      <c r="AI21" s="97"/>
      <c r="AJ21" s="97"/>
      <c r="AK21" s="97"/>
      <c r="AL21" s="98"/>
      <c r="AM21" s="91"/>
      <c r="AN21" s="91"/>
      <c r="AO21" s="91"/>
      <c r="AP21" s="91"/>
      <c r="AQ21" s="91"/>
      <c r="AR21" s="91"/>
      <c r="AS21" s="91"/>
      <c r="AT21" s="91"/>
      <c r="AU21" s="91"/>
      <c r="AV21" s="91"/>
      <c r="AW21" s="91"/>
      <c r="AX21" s="91"/>
      <c r="AY21" s="91"/>
      <c r="AZ21" s="91"/>
      <c r="BA21" s="91"/>
      <c r="BE21" s="114"/>
      <c r="BF21" s="114"/>
      <c r="BG21" s="114"/>
      <c r="BH21" s="114"/>
      <c r="BI21" s="114"/>
    </row>
    <row r="22" spans="3:63" ht="13.95" customHeight="1" x14ac:dyDescent="0.25">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91"/>
      <c r="AF22" s="108"/>
      <c r="AG22" s="99"/>
      <c r="AH22" s="100"/>
      <c r="AI22" s="100"/>
      <c r="AJ22" s="100"/>
      <c r="AK22" s="100"/>
      <c r="AL22" s="101"/>
      <c r="AM22" s="91"/>
      <c r="AN22" s="91"/>
      <c r="AO22" s="91"/>
      <c r="AP22" s="91"/>
      <c r="AQ22" s="91"/>
      <c r="AR22" s="91"/>
      <c r="AS22" s="91"/>
      <c r="AT22" s="91"/>
      <c r="AU22" s="91"/>
      <c r="AV22" s="91"/>
      <c r="AW22" s="91"/>
      <c r="AX22" s="91"/>
      <c r="AY22" s="91"/>
      <c r="AZ22" s="91"/>
      <c r="BA22" s="91"/>
      <c r="BE22" s="115"/>
      <c r="BF22" s="115"/>
      <c r="BG22" s="115"/>
      <c r="BH22" s="115"/>
      <c r="BI22" s="115"/>
    </row>
    <row r="23" spans="3:63" ht="10.5" customHeight="1" x14ac:dyDescent="0.25">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D23" s="95"/>
      <c r="BE23" s="122" t="s">
        <v>123</v>
      </c>
      <c r="BF23" s="123"/>
      <c r="BG23" s="123"/>
      <c r="BH23" s="123"/>
      <c r="BI23" s="123"/>
    </row>
    <row r="24" spans="3:63" ht="13.95" customHeight="1" x14ac:dyDescent="0.25">
      <c r="C24" s="105" t="s">
        <v>161</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91"/>
      <c r="AF24" s="107" t="s">
        <v>5</v>
      </c>
      <c r="AG24" s="96" t="s">
        <v>114</v>
      </c>
      <c r="AH24" s="97"/>
      <c r="AI24" s="97"/>
      <c r="AJ24" s="97"/>
      <c r="AK24" s="97"/>
      <c r="AL24" s="98"/>
      <c r="AM24" s="93"/>
      <c r="AN24" s="93"/>
      <c r="AO24" s="91"/>
      <c r="AP24" s="91"/>
      <c r="AQ24" s="91"/>
      <c r="AR24" s="91"/>
      <c r="AS24" s="91"/>
      <c r="AT24" s="91"/>
      <c r="AU24" s="91"/>
      <c r="AV24" s="91"/>
      <c r="AW24" s="91"/>
      <c r="AX24" s="91"/>
      <c r="AY24" s="91"/>
      <c r="AZ24" s="91"/>
      <c r="BA24" s="91"/>
      <c r="BD24" s="95"/>
      <c r="BE24" s="122"/>
      <c r="BF24" s="123"/>
      <c r="BG24" s="123"/>
      <c r="BH24" s="123"/>
      <c r="BI24" s="123"/>
    </row>
    <row r="25" spans="3:63" ht="13.95" customHeight="1" x14ac:dyDescent="0.2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91"/>
      <c r="AF25" s="108"/>
      <c r="AG25" s="99"/>
      <c r="AH25" s="100"/>
      <c r="AI25" s="100"/>
      <c r="AJ25" s="100"/>
      <c r="AK25" s="100"/>
      <c r="AL25" s="101"/>
      <c r="AM25" s="91"/>
      <c r="AN25" s="91"/>
      <c r="AO25" s="91"/>
      <c r="AP25" s="91"/>
      <c r="AQ25" s="91"/>
      <c r="AR25" s="91"/>
      <c r="AS25" s="91"/>
      <c r="AT25" s="91"/>
      <c r="AU25" s="91"/>
      <c r="AV25" s="91"/>
      <c r="AW25" s="91"/>
      <c r="AX25" s="91"/>
      <c r="AY25" s="91"/>
      <c r="AZ25" s="91"/>
      <c r="BA25" s="91"/>
      <c r="BD25" s="95"/>
      <c r="BE25" s="122"/>
      <c r="BF25" s="123"/>
      <c r="BG25" s="123"/>
      <c r="BH25" s="123"/>
      <c r="BI25" s="123"/>
    </row>
    <row r="26" spans="3:63" ht="13.95" customHeight="1" x14ac:dyDescent="0.2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1"/>
      <c r="AO26" s="91"/>
      <c r="AP26" s="91"/>
      <c r="AQ26" s="91"/>
      <c r="AR26" s="91"/>
      <c r="AS26" s="91"/>
      <c r="AT26" s="91"/>
      <c r="AU26" s="91"/>
      <c r="AV26" s="91"/>
      <c r="AW26" s="91"/>
      <c r="AX26" s="91"/>
      <c r="AY26" s="91"/>
      <c r="AZ26" s="91"/>
      <c r="BA26" s="91"/>
      <c r="BD26" s="95"/>
      <c r="BE26" s="122"/>
      <c r="BF26" s="123"/>
      <c r="BG26" s="123"/>
      <c r="BH26" s="123"/>
      <c r="BI26" s="123"/>
    </row>
    <row r="27" spans="3:63" ht="18" customHeight="1" x14ac:dyDescent="0.3">
      <c r="C27" s="109" t="s">
        <v>236</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20"/>
      <c r="AF27" s="4" t="s">
        <v>5</v>
      </c>
      <c r="AG27" s="121"/>
      <c r="AH27" s="112"/>
      <c r="AI27" s="112"/>
      <c r="AJ27" s="112"/>
      <c r="AK27" s="112"/>
      <c r="AL27" s="112"/>
      <c r="AM27" s="112"/>
      <c r="AN27" s="112"/>
      <c r="AO27" s="112"/>
      <c r="AP27" s="112"/>
      <c r="AQ27" s="112"/>
      <c r="AR27" s="112"/>
      <c r="AS27" s="112"/>
      <c r="AT27" s="112"/>
      <c r="AU27" s="112"/>
      <c r="AV27" s="112"/>
      <c r="AW27" s="113"/>
      <c r="AX27" s="91"/>
      <c r="AY27" s="91"/>
      <c r="AZ27" s="91"/>
      <c r="BA27" s="91"/>
      <c r="BD27" s="95"/>
      <c r="BE27" s="122"/>
      <c r="BF27" s="123"/>
      <c r="BG27" s="123"/>
      <c r="BH27" s="123"/>
      <c r="BI27" s="123"/>
    </row>
    <row r="28" spans="3:63" ht="10.5" customHeight="1" x14ac:dyDescent="0.25">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D28" s="95"/>
      <c r="BE28" s="122"/>
      <c r="BF28" s="123"/>
      <c r="BG28" s="123"/>
      <c r="BH28" s="123"/>
      <c r="BI28" s="123"/>
    </row>
    <row r="29" spans="3:63" ht="18" customHeight="1" x14ac:dyDescent="0.25">
      <c r="C29" s="109" t="s">
        <v>11</v>
      </c>
      <c r="D29" s="110"/>
      <c r="E29" s="110"/>
      <c r="F29" s="110"/>
      <c r="G29" s="4" t="s">
        <v>5</v>
      </c>
      <c r="H29" s="102"/>
      <c r="I29" s="112"/>
      <c r="J29" s="112"/>
      <c r="K29" s="112"/>
      <c r="L29" s="112"/>
      <c r="M29" s="112"/>
      <c r="N29" s="112"/>
      <c r="O29" s="112"/>
      <c r="P29" s="112"/>
      <c r="Q29" s="112"/>
      <c r="R29" s="112"/>
      <c r="S29" s="112"/>
      <c r="T29" s="112"/>
      <c r="U29" s="112"/>
      <c r="V29" s="112"/>
      <c r="W29" s="113"/>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D29" s="95"/>
      <c r="BE29" s="123"/>
      <c r="BF29" s="123"/>
      <c r="BG29" s="123"/>
      <c r="BH29" s="123"/>
      <c r="BI29" s="123"/>
    </row>
    <row r="30" spans="3:63" ht="15" customHeight="1" x14ac:dyDescent="0.25">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D30" s="95"/>
      <c r="BE30" s="123"/>
      <c r="BF30" s="123"/>
      <c r="BG30" s="123"/>
      <c r="BH30" s="123"/>
      <c r="BI30" s="123"/>
    </row>
    <row r="31" spans="3:63" ht="18" customHeight="1" x14ac:dyDescent="0.25">
      <c r="C31" s="109" t="s">
        <v>12</v>
      </c>
      <c r="D31" s="110"/>
      <c r="E31" s="110"/>
      <c r="F31" s="110"/>
      <c r="G31" s="4" t="s">
        <v>5</v>
      </c>
      <c r="H31" s="111"/>
      <c r="I31" s="118"/>
      <c r="J31" s="118"/>
      <c r="K31" s="118"/>
      <c r="L31" s="118"/>
      <c r="M31" s="118"/>
      <c r="N31" s="118"/>
      <c r="O31" s="118"/>
      <c r="P31" s="118"/>
      <c r="Q31" s="118"/>
      <c r="R31" s="118"/>
      <c r="S31" s="119"/>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D31" s="95"/>
      <c r="BE31" s="123"/>
      <c r="BF31" s="123"/>
      <c r="BG31" s="123"/>
      <c r="BH31" s="123"/>
      <c r="BI31" s="123"/>
    </row>
    <row r="32" spans="3:63" ht="9.9" customHeight="1" x14ac:dyDescent="0.25">
      <c r="BD32" s="95"/>
      <c r="BE32" s="123"/>
      <c r="BF32" s="123"/>
      <c r="BG32" s="123"/>
      <c r="BH32" s="123"/>
      <c r="BI32" s="123"/>
    </row>
    <row r="33" spans="55:60" x14ac:dyDescent="0.25">
      <c r="BC33" s="41">
        <f>O16</f>
        <v>0</v>
      </c>
      <c r="BD33" s="41">
        <f>O16</f>
        <v>0</v>
      </c>
      <c r="BE33" s="41">
        <f>O16</f>
        <v>0</v>
      </c>
      <c r="BF33" s="41">
        <f>O16</f>
        <v>0</v>
      </c>
      <c r="BG33" s="41">
        <f>O16</f>
        <v>0</v>
      </c>
      <c r="BH33" s="41">
        <f>O16</f>
        <v>0</v>
      </c>
    </row>
    <row r="34" spans="55:60" x14ac:dyDescent="0.25">
      <c r="BC34" s="41" t="b">
        <f t="shared" ref="BC34:BH34" si="0">ISNA(VLOOKUP(BC33,BC35:BC74,1,FALSE))</f>
        <v>1</v>
      </c>
      <c r="BD34" s="41" t="b">
        <f t="shared" si="0"/>
        <v>1</v>
      </c>
      <c r="BE34" s="41" t="b">
        <f t="shared" si="0"/>
        <v>1</v>
      </c>
      <c r="BF34" s="41" t="b">
        <f t="shared" si="0"/>
        <v>1</v>
      </c>
      <c r="BG34" s="41" t="b">
        <f t="shared" si="0"/>
        <v>1</v>
      </c>
      <c r="BH34" s="41" t="b">
        <f t="shared" si="0"/>
        <v>1</v>
      </c>
    </row>
    <row r="35" spans="55:60" x14ac:dyDescent="0.25">
      <c r="BC35" s="41">
        <v>57700</v>
      </c>
      <c r="BD35" s="41">
        <v>68900</v>
      </c>
      <c r="BE35" s="41">
        <v>79800</v>
      </c>
      <c r="BF35" s="41">
        <v>131400</v>
      </c>
      <c r="BG35" s="41">
        <v>144200</v>
      </c>
      <c r="BH35" s="41">
        <v>182200</v>
      </c>
    </row>
    <row r="36" spans="55:60" x14ac:dyDescent="0.25">
      <c r="BC36" s="41">
        <f t="shared" ref="BC36:BH36" si="1">MROUND(BC35*1.03,100)</f>
        <v>59400</v>
      </c>
      <c r="BD36" s="41">
        <f t="shared" si="1"/>
        <v>71000</v>
      </c>
      <c r="BE36" s="41">
        <f t="shared" si="1"/>
        <v>82200</v>
      </c>
      <c r="BF36" s="41">
        <f t="shared" si="1"/>
        <v>135300</v>
      </c>
      <c r="BG36" s="41">
        <f t="shared" si="1"/>
        <v>148500</v>
      </c>
      <c r="BH36" s="41">
        <f t="shared" si="1"/>
        <v>187700</v>
      </c>
    </row>
    <row r="37" spans="55:60" x14ac:dyDescent="0.25">
      <c r="BC37" s="41">
        <f t="shared" ref="BC37:BC74" si="2">MROUND(BC36*1.03,100)</f>
        <v>61200</v>
      </c>
      <c r="BD37" s="41">
        <f t="shared" ref="BD37:BD59" si="3">MROUND(BD36*1.03,100)</f>
        <v>73100</v>
      </c>
      <c r="BE37" s="41">
        <f t="shared" ref="BE37:BE68" si="4">MROUND(BE36*1.03,100)</f>
        <v>84700</v>
      </c>
      <c r="BF37" s="41">
        <f t="shared" ref="BF37:BF52" si="5">MROUND(BF36*1.03,100)</f>
        <v>139400</v>
      </c>
      <c r="BG37" s="41">
        <f t="shared" ref="BG37:BG49" si="6">MROUND(BG36*1.03,100)</f>
        <v>153000</v>
      </c>
      <c r="BH37" s="41">
        <f t="shared" ref="BH37:BH42" si="7">MROUND(BH36*1.03,100)</f>
        <v>193300</v>
      </c>
    </row>
    <row r="38" spans="55:60" x14ac:dyDescent="0.25">
      <c r="BC38" s="41">
        <f t="shared" si="2"/>
        <v>63000</v>
      </c>
      <c r="BD38" s="41">
        <f t="shared" si="3"/>
        <v>75300</v>
      </c>
      <c r="BE38" s="41">
        <f t="shared" si="4"/>
        <v>87200</v>
      </c>
      <c r="BF38" s="41">
        <f t="shared" si="5"/>
        <v>143600</v>
      </c>
      <c r="BG38" s="41">
        <f t="shared" si="6"/>
        <v>157600</v>
      </c>
      <c r="BH38" s="41">
        <f t="shared" si="7"/>
        <v>199100</v>
      </c>
    </row>
    <row r="39" spans="55:60" x14ac:dyDescent="0.25">
      <c r="BC39" s="41">
        <f t="shared" si="2"/>
        <v>64900</v>
      </c>
      <c r="BD39" s="41">
        <f t="shared" si="3"/>
        <v>77600</v>
      </c>
      <c r="BE39" s="41">
        <f t="shared" si="4"/>
        <v>89800</v>
      </c>
      <c r="BF39" s="41">
        <f t="shared" si="5"/>
        <v>147900</v>
      </c>
      <c r="BG39" s="41">
        <f t="shared" si="6"/>
        <v>162300</v>
      </c>
      <c r="BH39" s="41">
        <f t="shared" si="7"/>
        <v>205100</v>
      </c>
    </row>
    <row r="40" spans="55:60" x14ac:dyDescent="0.25">
      <c r="BC40" s="41">
        <f t="shared" si="2"/>
        <v>66800</v>
      </c>
      <c r="BD40" s="41">
        <f t="shared" si="3"/>
        <v>79900</v>
      </c>
      <c r="BE40" s="41">
        <f t="shared" si="4"/>
        <v>92500</v>
      </c>
      <c r="BF40" s="41">
        <f t="shared" si="5"/>
        <v>152300</v>
      </c>
      <c r="BG40" s="41">
        <f t="shared" si="6"/>
        <v>167200</v>
      </c>
      <c r="BH40" s="41">
        <f t="shared" si="7"/>
        <v>211300</v>
      </c>
    </row>
    <row r="41" spans="55:60" x14ac:dyDescent="0.25">
      <c r="BC41" s="41">
        <f t="shared" si="2"/>
        <v>68800</v>
      </c>
      <c r="BD41" s="41">
        <f t="shared" si="3"/>
        <v>82300</v>
      </c>
      <c r="BE41" s="41">
        <f t="shared" si="4"/>
        <v>95300</v>
      </c>
      <c r="BF41" s="41">
        <f t="shared" si="5"/>
        <v>156900</v>
      </c>
      <c r="BG41" s="41">
        <f t="shared" si="6"/>
        <v>172200</v>
      </c>
      <c r="BH41" s="41">
        <f t="shared" si="7"/>
        <v>217600</v>
      </c>
    </row>
    <row r="42" spans="55:60" x14ac:dyDescent="0.25">
      <c r="BC42" s="41">
        <f t="shared" si="2"/>
        <v>70900</v>
      </c>
      <c r="BD42" s="41">
        <f t="shared" si="3"/>
        <v>84800</v>
      </c>
      <c r="BE42" s="41">
        <f t="shared" si="4"/>
        <v>98200</v>
      </c>
      <c r="BF42" s="41">
        <f t="shared" si="5"/>
        <v>161600</v>
      </c>
      <c r="BG42" s="41">
        <f t="shared" si="6"/>
        <v>177400</v>
      </c>
      <c r="BH42" s="41">
        <f t="shared" si="7"/>
        <v>224100</v>
      </c>
    </row>
    <row r="43" spans="55:60" x14ac:dyDescent="0.25">
      <c r="BC43" s="41">
        <f t="shared" si="2"/>
        <v>73000</v>
      </c>
      <c r="BD43" s="41">
        <f t="shared" si="3"/>
        <v>87300</v>
      </c>
      <c r="BE43" s="41">
        <f t="shared" si="4"/>
        <v>101100</v>
      </c>
      <c r="BF43" s="41">
        <f t="shared" si="5"/>
        <v>166400</v>
      </c>
      <c r="BG43" s="41">
        <f t="shared" si="6"/>
        <v>182700</v>
      </c>
      <c r="BH43" s="41"/>
    </row>
    <row r="44" spans="55:60" x14ac:dyDescent="0.25">
      <c r="BC44" s="41">
        <f t="shared" si="2"/>
        <v>75200</v>
      </c>
      <c r="BD44" s="41">
        <f t="shared" si="3"/>
        <v>89900</v>
      </c>
      <c r="BE44" s="41">
        <f t="shared" si="4"/>
        <v>104100</v>
      </c>
      <c r="BF44" s="41">
        <f t="shared" si="5"/>
        <v>171400</v>
      </c>
      <c r="BG44" s="41">
        <f t="shared" si="6"/>
        <v>188200</v>
      </c>
      <c r="BH44" s="41"/>
    </row>
    <row r="45" spans="55:60" x14ac:dyDescent="0.25">
      <c r="BC45" s="41">
        <f t="shared" si="2"/>
        <v>77500</v>
      </c>
      <c r="BD45" s="41">
        <f t="shared" si="3"/>
        <v>92600</v>
      </c>
      <c r="BE45" s="41">
        <f t="shared" si="4"/>
        <v>107200</v>
      </c>
      <c r="BF45" s="41">
        <f t="shared" si="5"/>
        <v>176500</v>
      </c>
      <c r="BG45" s="41">
        <f t="shared" si="6"/>
        <v>193800</v>
      </c>
      <c r="BH45" s="41"/>
    </row>
    <row r="46" spans="55:60" x14ac:dyDescent="0.25">
      <c r="BC46" s="41">
        <f t="shared" si="2"/>
        <v>79800</v>
      </c>
      <c r="BD46" s="41">
        <f t="shared" si="3"/>
        <v>95400</v>
      </c>
      <c r="BE46" s="41">
        <f t="shared" si="4"/>
        <v>110400</v>
      </c>
      <c r="BF46" s="41">
        <f t="shared" si="5"/>
        <v>181800</v>
      </c>
      <c r="BG46" s="41">
        <f t="shared" si="6"/>
        <v>199600</v>
      </c>
      <c r="BH46" s="41"/>
    </row>
    <row r="47" spans="55:60" x14ac:dyDescent="0.25">
      <c r="BC47" s="41">
        <f t="shared" si="2"/>
        <v>82200</v>
      </c>
      <c r="BD47" s="41">
        <f t="shared" si="3"/>
        <v>98300</v>
      </c>
      <c r="BE47" s="41">
        <f t="shared" si="4"/>
        <v>113700</v>
      </c>
      <c r="BF47" s="41">
        <f t="shared" si="5"/>
        <v>187300</v>
      </c>
      <c r="BG47" s="41">
        <f t="shared" si="6"/>
        <v>205600</v>
      </c>
      <c r="BH47" s="41"/>
    </row>
    <row r="48" spans="55:60" x14ac:dyDescent="0.25">
      <c r="BC48" s="41">
        <f t="shared" si="2"/>
        <v>84700</v>
      </c>
      <c r="BD48" s="41">
        <f t="shared" si="3"/>
        <v>101200</v>
      </c>
      <c r="BE48" s="41">
        <f t="shared" si="4"/>
        <v>117100</v>
      </c>
      <c r="BF48" s="41">
        <f t="shared" si="5"/>
        <v>192900</v>
      </c>
      <c r="BG48" s="41">
        <f t="shared" si="6"/>
        <v>211800</v>
      </c>
      <c r="BH48" s="41"/>
    </row>
    <row r="49" spans="55:60" x14ac:dyDescent="0.25">
      <c r="BC49" s="41">
        <f t="shared" si="2"/>
        <v>87200</v>
      </c>
      <c r="BD49" s="41">
        <f t="shared" si="3"/>
        <v>104200</v>
      </c>
      <c r="BE49" s="41">
        <f t="shared" si="4"/>
        <v>120600</v>
      </c>
      <c r="BF49" s="41">
        <f t="shared" si="5"/>
        <v>198700</v>
      </c>
      <c r="BG49" s="41">
        <f t="shared" si="6"/>
        <v>218200</v>
      </c>
      <c r="BH49" s="41"/>
    </row>
    <row r="50" spans="55:60" x14ac:dyDescent="0.25">
      <c r="BC50" s="41">
        <f t="shared" si="2"/>
        <v>89800</v>
      </c>
      <c r="BD50" s="41">
        <f t="shared" si="3"/>
        <v>107300</v>
      </c>
      <c r="BE50" s="41">
        <f t="shared" si="4"/>
        <v>124200</v>
      </c>
      <c r="BF50" s="41">
        <f t="shared" si="5"/>
        <v>204700</v>
      </c>
      <c r="BG50" s="41"/>
      <c r="BH50" s="41"/>
    </row>
    <row r="51" spans="55:60" x14ac:dyDescent="0.25">
      <c r="BC51" s="41">
        <f t="shared" si="2"/>
        <v>92500</v>
      </c>
      <c r="BD51" s="41">
        <f t="shared" si="3"/>
        <v>110500</v>
      </c>
      <c r="BE51" s="41">
        <f t="shared" si="4"/>
        <v>127900</v>
      </c>
      <c r="BF51" s="41">
        <f t="shared" si="5"/>
        <v>210800</v>
      </c>
      <c r="BG51" s="41"/>
      <c r="BH51" s="41"/>
    </row>
    <row r="52" spans="55:60" x14ac:dyDescent="0.25">
      <c r="BC52" s="41">
        <f t="shared" si="2"/>
        <v>95300</v>
      </c>
      <c r="BD52" s="41">
        <f t="shared" si="3"/>
        <v>113800</v>
      </c>
      <c r="BE52" s="41">
        <f t="shared" si="4"/>
        <v>131700</v>
      </c>
      <c r="BF52" s="41">
        <f t="shared" si="5"/>
        <v>217100</v>
      </c>
      <c r="BG52" s="41"/>
      <c r="BH52" s="41"/>
    </row>
    <row r="53" spans="55:60" x14ac:dyDescent="0.25">
      <c r="BC53" s="41">
        <f t="shared" si="2"/>
        <v>98200</v>
      </c>
      <c r="BD53" s="41">
        <f t="shared" si="3"/>
        <v>117200</v>
      </c>
      <c r="BE53" s="41">
        <f t="shared" si="4"/>
        <v>135700</v>
      </c>
      <c r="BF53" s="41"/>
      <c r="BG53" s="41"/>
      <c r="BH53" s="41"/>
    </row>
    <row r="54" spans="55:60" x14ac:dyDescent="0.25">
      <c r="BC54" s="41">
        <f t="shared" si="2"/>
        <v>101100</v>
      </c>
      <c r="BD54" s="41">
        <f t="shared" si="3"/>
        <v>120700</v>
      </c>
      <c r="BE54" s="41">
        <f t="shared" si="4"/>
        <v>139800</v>
      </c>
      <c r="BF54" s="41"/>
      <c r="BG54" s="41"/>
      <c r="BH54" s="41"/>
    </row>
    <row r="55" spans="55:60" x14ac:dyDescent="0.25">
      <c r="BC55" s="41">
        <f t="shared" si="2"/>
        <v>104100</v>
      </c>
      <c r="BD55" s="41">
        <f t="shared" si="3"/>
        <v>124300</v>
      </c>
      <c r="BE55" s="41">
        <f t="shared" si="4"/>
        <v>144000</v>
      </c>
      <c r="BF55" s="41"/>
      <c r="BG55" s="41"/>
      <c r="BH55" s="41"/>
    </row>
    <row r="56" spans="55:60" x14ac:dyDescent="0.25">
      <c r="BC56" s="41">
        <f t="shared" si="2"/>
        <v>107200</v>
      </c>
      <c r="BD56" s="41">
        <f t="shared" si="3"/>
        <v>128000</v>
      </c>
      <c r="BE56" s="41">
        <f t="shared" si="4"/>
        <v>148300</v>
      </c>
      <c r="BF56" s="41"/>
      <c r="BG56" s="41"/>
      <c r="BH56" s="41"/>
    </row>
    <row r="57" spans="55:60" x14ac:dyDescent="0.25">
      <c r="BC57" s="41">
        <f t="shared" si="2"/>
        <v>110400</v>
      </c>
      <c r="BD57" s="41">
        <f t="shared" si="3"/>
        <v>131800</v>
      </c>
      <c r="BE57" s="41">
        <f t="shared" si="4"/>
        <v>152700</v>
      </c>
      <c r="BF57" s="41"/>
      <c r="BG57" s="41"/>
      <c r="BH57" s="41"/>
    </row>
    <row r="58" spans="55:60" x14ac:dyDescent="0.25">
      <c r="BC58" s="41">
        <f t="shared" si="2"/>
        <v>113700</v>
      </c>
      <c r="BD58" s="41">
        <f t="shared" si="3"/>
        <v>135800</v>
      </c>
      <c r="BE58" s="41">
        <f t="shared" si="4"/>
        <v>157300</v>
      </c>
      <c r="BF58" s="41"/>
      <c r="BG58" s="41"/>
      <c r="BH58" s="41"/>
    </row>
    <row r="59" spans="55:60" x14ac:dyDescent="0.25">
      <c r="BC59" s="41">
        <f t="shared" si="2"/>
        <v>117100</v>
      </c>
      <c r="BD59" s="41">
        <f t="shared" si="3"/>
        <v>139900</v>
      </c>
      <c r="BE59" s="41">
        <f t="shared" si="4"/>
        <v>162000</v>
      </c>
      <c r="BF59" s="41"/>
      <c r="BG59" s="41"/>
      <c r="BH59" s="41"/>
    </row>
    <row r="60" spans="55:60" x14ac:dyDescent="0.25">
      <c r="BC60" s="41">
        <f t="shared" si="2"/>
        <v>120600</v>
      </c>
      <c r="BD60" s="41">
        <f>MROUND(BD59*1.03,100)</f>
        <v>144100</v>
      </c>
      <c r="BE60" s="41">
        <f t="shared" si="4"/>
        <v>166900</v>
      </c>
      <c r="BF60" s="41"/>
      <c r="BG60" s="41"/>
      <c r="BH60" s="41"/>
    </row>
    <row r="61" spans="55:60" x14ac:dyDescent="0.25">
      <c r="BC61" s="41">
        <f t="shared" si="2"/>
        <v>124200</v>
      </c>
      <c r="BD61" s="41">
        <f t="shared" ref="BD61:BD72" si="8">MROUND(BD60*1.03,100)</f>
        <v>148400</v>
      </c>
      <c r="BE61" s="41">
        <f t="shared" si="4"/>
        <v>171900</v>
      </c>
      <c r="BF61" s="41"/>
      <c r="BG61" s="41"/>
      <c r="BH61" s="41"/>
    </row>
    <row r="62" spans="55:60" x14ac:dyDescent="0.25">
      <c r="BC62" s="41">
        <f t="shared" si="2"/>
        <v>127900</v>
      </c>
      <c r="BD62" s="41">
        <f t="shared" si="8"/>
        <v>152900</v>
      </c>
      <c r="BE62" s="41">
        <f t="shared" si="4"/>
        <v>177100</v>
      </c>
      <c r="BF62" s="41"/>
      <c r="BG62" s="41"/>
      <c r="BH62" s="41"/>
    </row>
    <row r="63" spans="55:60" x14ac:dyDescent="0.25">
      <c r="BC63" s="41">
        <f t="shared" si="2"/>
        <v>131700</v>
      </c>
      <c r="BD63" s="41">
        <f t="shared" si="8"/>
        <v>157500</v>
      </c>
      <c r="BE63" s="41">
        <f t="shared" si="4"/>
        <v>182400</v>
      </c>
      <c r="BF63" s="41"/>
      <c r="BG63" s="41"/>
      <c r="BH63" s="41"/>
    </row>
    <row r="64" spans="55:60" x14ac:dyDescent="0.25">
      <c r="BC64" s="41">
        <f t="shared" si="2"/>
        <v>135700</v>
      </c>
      <c r="BD64" s="41">
        <f t="shared" si="8"/>
        <v>162200</v>
      </c>
      <c r="BE64" s="41">
        <f t="shared" si="4"/>
        <v>187900</v>
      </c>
      <c r="BF64" s="41"/>
      <c r="BG64" s="41"/>
      <c r="BH64" s="41"/>
    </row>
    <row r="65" spans="55:60" x14ac:dyDescent="0.25">
      <c r="BC65" s="41">
        <f t="shared" si="2"/>
        <v>139800</v>
      </c>
      <c r="BD65" s="41">
        <f t="shared" si="8"/>
        <v>167100</v>
      </c>
      <c r="BE65" s="41">
        <f t="shared" si="4"/>
        <v>193500</v>
      </c>
      <c r="BF65" s="41"/>
      <c r="BG65" s="41"/>
      <c r="BH65" s="41"/>
    </row>
    <row r="66" spans="55:60" x14ac:dyDescent="0.25">
      <c r="BC66" s="41">
        <f t="shared" si="2"/>
        <v>144000</v>
      </c>
      <c r="BD66" s="41">
        <f t="shared" si="8"/>
        <v>172100</v>
      </c>
      <c r="BE66" s="41">
        <f t="shared" si="4"/>
        <v>199300</v>
      </c>
      <c r="BF66" s="41"/>
      <c r="BG66" s="41"/>
      <c r="BH66" s="41"/>
    </row>
    <row r="67" spans="55:60" x14ac:dyDescent="0.25">
      <c r="BC67" s="41">
        <f t="shared" si="2"/>
        <v>148300</v>
      </c>
      <c r="BD67" s="41">
        <f t="shared" si="8"/>
        <v>177300</v>
      </c>
      <c r="BE67" s="41">
        <f t="shared" si="4"/>
        <v>205300</v>
      </c>
      <c r="BF67" s="41"/>
      <c r="BG67" s="41"/>
      <c r="BH67" s="41"/>
    </row>
    <row r="68" spans="55:60" x14ac:dyDescent="0.25">
      <c r="BC68" s="41">
        <f t="shared" si="2"/>
        <v>152700</v>
      </c>
      <c r="BD68" s="41">
        <f t="shared" si="8"/>
        <v>182600</v>
      </c>
      <c r="BE68" s="41">
        <f t="shared" si="4"/>
        <v>211500</v>
      </c>
      <c r="BF68" s="41"/>
      <c r="BG68" s="41"/>
      <c r="BH68" s="41"/>
    </row>
    <row r="69" spans="55:60" x14ac:dyDescent="0.25">
      <c r="BC69" s="41">
        <f t="shared" si="2"/>
        <v>157300</v>
      </c>
      <c r="BD69" s="41">
        <f t="shared" si="8"/>
        <v>188100</v>
      </c>
      <c r="BE69" s="41"/>
      <c r="BF69" s="41"/>
      <c r="BG69" s="41"/>
      <c r="BH69" s="41"/>
    </row>
    <row r="70" spans="55:60" x14ac:dyDescent="0.25">
      <c r="BC70" s="41">
        <f t="shared" si="2"/>
        <v>162000</v>
      </c>
      <c r="BD70" s="41">
        <f t="shared" si="8"/>
        <v>193700</v>
      </c>
      <c r="BE70" s="41"/>
      <c r="BF70" s="41"/>
      <c r="BG70" s="41"/>
      <c r="BH70" s="41"/>
    </row>
    <row r="71" spans="55:60" x14ac:dyDescent="0.25">
      <c r="BC71" s="41">
        <f t="shared" si="2"/>
        <v>166900</v>
      </c>
      <c r="BD71" s="41">
        <f t="shared" si="8"/>
        <v>199500</v>
      </c>
      <c r="BE71" s="41"/>
      <c r="BF71" s="41"/>
      <c r="BG71" s="41"/>
      <c r="BH71" s="41"/>
    </row>
    <row r="72" spans="55:60" x14ac:dyDescent="0.25">
      <c r="BC72" s="41">
        <f t="shared" si="2"/>
        <v>171900</v>
      </c>
      <c r="BD72" s="41">
        <f t="shared" si="8"/>
        <v>205500</v>
      </c>
      <c r="BE72" s="41"/>
      <c r="BF72" s="41"/>
      <c r="BG72" s="41"/>
      <c r="BH72" s="41"/>
    </row>
    <row r="73" spans="55:60" x14ac:dyDescent="0.25">
      <c r="BC73" s="41">
        <f t="shared" si="2"/>
        <v>177100</v>
      </c>
      <c r="BD73" s="41"/>
      <c r="BE73" s="41"/>
      <c r="BF73" s="41"/>
      <c r="BG73" s="41"/>
      <c r="BH73" s="41"/>
    </row>
    <row r="74" spans="55:60" x14ac:dyDescent="0.25">
      <c r="BC74" s="41">
        <f t="shared" si="2"/>
        <v>182400</v>
      </c>
      <c r="BD74" s="41"/>
      <c r="BE74" s="41"/>
      <c r="BF74" s="41"/>
      <c r="BG74" s="41"/>
      <c r="BH74" s="41"/>
    </row>
  </sheetData>
  <sheetProtection algorithmName="SHA-512" hashValue="Z/NQ+9XYb++mNWfPBNcAKcAxTpbzycshV9OeMCzh6oenUpz0/YPJn5guZH5IqOMkNE3bXLScVGdlbgCPFMCxkw==" saltValue="9e0aaDAcnoS5DMtmmFEyFQ==" spinCount="100000" sheet="1" objects="1" scenarios="1" selectLockedCells="1"/>
  <mergeCells count="40">
    <mergeCell ref="BE23:BI32"/>
    <mergeCell ref="AK6:AZ6"/>
    <mergeCell ref="C3:T3"/>
    <mergeCell ref="V3:BA3"/>
    <mergeCell ref="BD8:BJ9"/>
    <mergeCell ref="BD2:BJ7"/>
    <mergeCell ref="C6:J6"/>
    <mergeCell ref="L8:AB8"/>
    <mergeCell ref="L6:AB6"/>
    <mergeCell ref="C8:J8"/>
    <mergeCell ref="AD6:AI6"/>
    <mergeCell ref="C21:AD22"/>
    <mergeCell ref="AF21:AF22"/>
    <mergeCell ref="AG21:AL22"/>
    <mergeCell ref="BD10:BJ11"/>
    <mergeCell ref="BD12:BJ13"/>
    <mergeCell ref="BE17:BI22"/>
    <mergeCell ref="BE14:BI15"/>
    <mergeCell ref="C31:F31"/>
    <mergeCell ref="H31:S31"/>
    <mergeCell ref="C27:AE27"/>
    <mergeCell ref="AG27:AW27"/>
    <mergeCell ref="C24:AD25"/>
    <mergeCell ref="AF24:AF25"/>
    <mergeCell ref="AG24:AL25"/>
    <mergeCell ref="C29:F29"/>
    <mergeCell ref="H29:W29"/>
    <mergeCell ref="C15:AD16"/>
    <mergeCell ref="AF15:AF16"/>
    <mergeCell ref="AG15:AL16"/>
    <mergeCell ref="C18:AD19"/>
    <mergeCell ref="AF18:AF19"/>
    <mergeCell ref="AG18:AL19"/>
    <mergeCell ref="AN10:AZ10"/>
    <mergeCell ref="C12:AD13"/>
    <mergeCell ref="AF12:AF13"/>
    <mergeCell ref="AG12:AL13"/>
    <mergeCell ref="C10:J10"/>
    <mergeCell ref="L10:AB10"/>
    <mergeCell ref="AD10:AL10"/>
  </mergeCells>
  <dataValidations count="13">
    <dataValidation type="list" allowBlank="1" showInputMessage="1" showErrorMessage="1" errorTitle="Pension Scheme" error="Please select your Pension Scheme." promptTitle="Pension Scheme" prompt="Please select your Pension Scheme." sqref="AN12:AZ12 AN10:AZ10"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sqref="AG12:AL16 AG21:AL22 AG18:AL19 AG24:AL25" xr:uid="{87466B84-DE06-447B-B8E1-0080D029792D}">
      <formula1>"No,Yes"</formula1>
    </dataValidation>
    <dataValidation allowBlank="1" showInputMessage="1" showErrorMessage="1" promptTitle="Name" prompt="Please Enter the Name of your College" sqref="M3:U3" xr:uid="{ADD0BE58-AE36-4528-9632-1F62666FB25B}"/>
    <dataValidation type="whole" operator="greaterThanOrEqual" allowBlank="1" showInputMessage="1" showErrorMessage="1" errorTitle="GIS" error="Please enter a valid amount." promptTitle="GIS" prompt="Please enter the monthly deduction amount for GIS." sqref="AM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allowBlank="1" showInputMessage="1" showErrorMessage="1" promptTitle="Designation" prompt="Please enter your Designation." sqref="L10:AB10" xr:uid="{4B144044-F121-44D1-B0F7-177A5BC2C828}"/>
    <dataValidation allowBlank="1" showInputMessage="1" showErrorMessage="1" promptTitle=" Place" prompt="Please enter your Place." sqref="H29:W29" xr:uid="{F4DEA2D1-EB1E-452C-BD70-C31B93480FDE}"/>
    <dataValidation allowBlank="1" showInputMessage="1" showErrorMessage="1" promptTitle="Date" prompt="Please enter the Date in DD/MM/YYYY format." sqref="H31:S31" xr:uid="{BEB1C6AF-AEE5-4522-AE8C-673AC6AA9B62}"/>
    <dataValidation allowBlank="1" showInputMessage="1" showErrorMessage="1" promptTitle="Official Designation of the Head" prompt="Please enter the Official Designation of the Head of Your Organization/ Office." sqref="AG27:AW27" xr:uid="{4560141A-3C22-4D0D-AAB4-BDF6A5070488}"/>
    <dataValidation allowBlank="1" showInputMessage="1" showErrorMessage="1" promptTitle="Name of Your Organization/Office" prompt="Please enter the Name of Your Organization/Office." sqref="V3:BA3" xr:uid="{240CF471-250D-4407-9752-38FFDD0A4FAA}"/>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K12" sqref="K12:P12"/>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177" t="str">
        <f>IF(ISBLANK('Basic Information'!V3),"",UPPER('Basic Information'!V3))</f>
        <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9"/>
      <c r="BG1" s="179"/>
      <c r="BH1" s="179"/>
      <c r="BI1" s="179"/>
      <c r="BJ1" s="180"/>
    </row>
    <row r="2" spans="2:74" ht="18.600000000000001" customHeight="1" x14ac:dyDescent="0.25">
      <c r="B2" s="181" t="s">
        <v>157</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3"/>
      <c r="BG2" s="183"/>
      <c r="BH2" s="183"/>
      <c r="BI2" s="183"/>
      <c r="BJ2" s="184"/>
      <c r="BQ2" s="289" t="s">
        <v>159</v>
      </c>
      <c r="BR2" s="290"/>
      <c r="BS2" s="290"/>
      <c r="BT2" s="290"/>
      <c r="BU2" s="290"/>
    </row>
    <row r="3" spans="2:74" ht="18.600000000000001" customHeight="1" x14ac:dyDescent="0.25">
      <c r="B3" s="185" t="s">
        <v>162</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3"/>
      <c r="BG3" s="183"/>
      <c r="BH3" s="183"/>
      <c r="BI3" s="183"/>
      <c r="BJ3" s="184"/>
      <c r="BQ3" s="290"/>
      <c r="BR3" s="290"/>
      <c r="BS3" s="290"/>
      <c r="BT3" s="290"/>
      <c r="BU3" s="290"/>
    </row>
    <row r="4" spans="2:74" ht="3.9" customHeight="1" x14ac:dyDescent="0.35">
      <c r="B4" s="20"/>
      <c r="BJ4" s="26"/>
      <c r="BQ4" s="162" t="s">
        <v>20</v>
      </c>
      <c r="BR4" s="302"/>
      <c r="BS4" s="302"/>
      <c r="BT4" s="302"/>
      <c r="BU4" s="302"/>
      <c r="BV4" s="46"/>
    </row>
    <row r="5" spans="2:74" ht="15.6" x14ac:dyDescent="0.35">
      <c r="B5" s="267" t="s">
        <v>13</v>
      </c>
      <c r="C5" s="109"/>
      <c r="D5" s="109"/>
      <c r="E5" s="109"/>
      <c r="F5" s="109"/>
      <c r="G5" s="109"/>
      <c r="H5" s="109"/>
      <c r="I5" s="109"/>
      <c r="J5" s="109"/>
      <c r="K5" s="27" t="s">
        <v>5</v>
      </c>
      <c r="L5" s="264" t="str">
        <f>IF(ISBLANK('Basic Information'!L6)," ",PROPER('Basic Information'!L6))</f>
        <v xml:space="preserve"> </v>
      </c>
      <c r="M5" s="270"/>
      <c r="N5" s="270"/>
      <c r="O5" s="270"/>
      <c r="P5" s="270"/>
      <c r="Q5" s="270"/>
      <c r="R5" s="270"/>
      <c r="S5" s="270"/>
      <c r="T5" s="270"/>
      <c r="U5" s="270"/>
      <c r="V5" s="270"/>
      <c r="W5" s="270"/>
      <c r="X5" s="270"/>
      <c r="Y5" s="270"/>
      <c r="Z5" s="270"/>
      <c r="AA5" s="270"/>
      <c r="AB5" s="270"/>
      <c r="AC5" s="270"/>
      <c r="AD5" s="270"/>
      <c r="AE5" s="271"/>
      <c r="AF5" s="29"/>
      <c r="AG5" s="109" t="s">
        <v>105</v>
      </c>
      <c r="AH5" s="109"/>
      <c r="AI5" s="109"/>
      <c r="AJ5" s="109"/>
      <c r="AK5" s="109"/>
      <c r="AL5" s="109"/>
      <c r="AM5" s="27" t="s">
        <v>5</v>
      </c>
      <c r="AN5" s="264" t="str">
        <f>IF(ISBLANK('Basic Information'!AK6)," ",UPPER('Basic Information'!AK6))</f>
        <v xml:space="preserve"> </v>
      </c>
      <c r="AO5" s="265"/>
      <c r="AP5" s="265"/>
      <c r="AQ5" s="265"/>
      <c r="AR5" s="265"/>
      <c r="AS5" s="265"/>
      <c r="AT5" s="265"/>
      <c r="AU5" s="265"/>
      <c r="AV5" s="265"/>
      <c r="AW5" s="265"/>
      <c r="AX5" s="265"/>
      <c r="AY5" s="265"/>
      <c r="AZ5" s="265"/>
      <c r="BA5" s="265"/>
      <c r="BB5" s="265"/>
      <c r="BC5" s="265"/>
      <c r="BD5" s="265"/>
      <c r="BE5" s="266"/>
      <c r="BJ5" s="26"/>
      <c r="BQ5" s="302"/>
      <c r="BR5" s="302"/>
      <c r="BS5" s="302"/>
      <c r="BT5" s="302"/>
      <c r="BU5" s="302"/>
      <c r="BV5" s="46"/>
    </row>
    <row r="6" spans="2:74" ht="3.9" customHeight="1" x14ac:dyDescent="0.35">
      <c r="B6" s="20"/>
      <c r="BJ6" s="26"/>
      <c r="BQ6" s="46"/>
      <c r="BR6" s="160" t="s">
        <v>121</v>
      </c>
      <c r="BS6" s="161"/>
      <c r="BT6" s="161"/>
      <c r="BU6" s="161"/>
      <c r="BV6" s="46"/>
    </row>
    <row r="7" spans="2:74" ht="15.6" x14ac:dyDescent="0.35">
      <c r="B7" s="268" t="s">
        <v>15</v>
      </c>
      <c r="C7" s="269"/>
      <c r="D7" s="269"/>
      <c r="E7" s="269"/>
      <c r="F7" s="269"/>
      <c r="G7" s="269"/>
      <c r="H7" s="269"/>
      <c r="I7" s="269"/>
      <c r="J7" s="269"/>
      <c r="K7" s="81" t="s">
        <v>5</v>
      </c>
      <c r="L7" s="264" t="str">
        <f>IF(ISBLANK('Basic Information'!L10)," ",PROPER('Basic Information'!L10))</f>
        <v xml:space="preserve"> </v>
      </c>
      <c r="M7" s="265"/>
      <c r="N7" s="265"/>
      <c r="O7" s="265"/>
      <c r="P7" s="265"/>
      <c r="Q7" s="265"/>
      <c r="R7" s="265"/>
      <c r="S7" s="265"/>
      <c r="T7" s="265"/>
      <c r="U7" s="265"/>
      <c r="V7" s="265"/>
      <c r="W7" s="265"/>
      <c r="X7" s="265"/>
      <c r="Y7" s="265"/>
      <c r="Z7" s="265"/>
      <c r="AA7" s="265"/>
      <c r="AB7" s="265"/>
      <c r="AC7" s="265"/>
      <c r="AD7" s="265"/>
      <c r="AE7" s="266"/>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0"/>
      <c r="BP7" s="41">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6"/>
      <c r="BR7" s="161"/>
      <c r="BS7" s="161"/>
      <c r="BT7" s="161"/>
      <c r="BU7" s="161"/>
      <c r="BV7" s="46"/>
    </row>
    <row r="8" spans="2:74" ht="5.0999999999999996" customHeight="1" x14ac:dyDescent="0.35">
      <c r="BP8" s="41">
        <f>IF(AND(ISNUMBER('Basic Information'!O16),'Basic Information'!AF17="Yes"),'Basic Information'!O16,0)</f>
        <v>0</v>
      </c>
      <c r="BQ8" s="162" t="s">
        <v>21</v>
      </c>
      <c r="BR8" s="163"/>
      <c r="BS8" s="163"/>
      <c r="BT8" s="163"/>
      <c r="BU8" s="163"/>
      <c r="BV8" s="46"/>
    </row>
    <row r="9" spans="2:74" ht="15" customHeight="1" x14ac:dyDescent="0.35">
      <c r="B9" s="133" t="s">
        <v>230</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2"/>
      <c r="BP9" s="41">
        <f>IF(ISTEXT('Basic Information'!L14),IF('Basic Information'!L14="Class A - Corporation limits",10,IF('Basic Information'!L14="Class B - Municipalities at District Headquarters",8,IF('Basic Information'!L14="Class C - Municipalities",6,IF('Basic Information'!L14="Class D - Panchayaths",4,0)))),0)</f>
        <v>0</v>
      </c>
      <c r="BQ9" s="163"/>
      <c r="BR9" s="163"/>
      <c r="BS9" s="163"/>
      <c r="BT9" s="163"/>
      <c r="BU9" s="163"/>
      <c r="BV9" s="46"/>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164" t="s">
        <v>120</v>
      </c>
      <c r="BR10" s="165"/>
      <c r="BS10" s="165"/>
      <c r="BT10" s="165"/>
      <c r="BU10" s="165"/>
      <c r="BV10" s="165"/>
    </row>
    <row r="11" spans="2:74" ht="15" customHeight="1" x14ac:dyDescent="0.25">
      <c r="B11" s="272" t="s">
        <v>0</v>
      </c>
      <c r="C11" s="199"/>
      <c r="D11" s="199"/>
      <c r="E11" s="199"/>
      <c r="F11" s="199"/>
      <c r="G11" s="199"/>
      <c r="H11" s="199"/>
      <c r="I11" s="199"/>
      <c r="J11" s="199"/>
      <c r="K11" s="145" t="s">
        <v>1</v>
      </c>
      <c r="L11" s="263"/>
      <c r="M11" s="263"/>
      <c r="N11" s="263"/>
      <c r="O11" s="263"/>
      <c r="P11" s="263"/>
      <c r="Q11" s="145" t="s">
        <v>2</v>
      </c>
      <c r="R11" s="263" t="s">
        <v>2</v>
      </c>
      <c r="S11" s="263"/>
      <c r="T11" s="263"/>
      <c r="U11" s="263"/>
      <c r="V11" s="263"/>
      <c r="W11" s="145" t="s">
        <v>3</v>
      </c>
      <c r="X11" s="263"/>
      <c r="Y11" s="263" t="s">
        <v>3</v>
      </c>
      <c r="Z11" s="263"/>
      <c r="AA11" s="263"/>
      <c r="AB11" s="263"/>
      <c r="AC11" s="145" t="s">
        <v>4</v>
      </c>
      <c r="AD11" s="276"/>
      <c r="AE11" s="276"/>
      <c r="AF11" s="276"/>
      <c r="AG11" s="276"/>
      <c r="AH11" s="276"/>
      <c r="AI11" s="277"/>
      <c r="AJ11" s="145" t="s">
        <v>16</v>
      </c>
      <c r="AK11" s="263"/>
      <c r="AL11" s="263"/>
      <c r="AM11" s="263" t="s">
        <v>16</v>
      </c>
      <c r="AN11" s="263"/>
      <c r="AO11" s="263"/>
      <c r="AP11" s="273" t="s">
        <v>144</v>
      </c>
      <c r="AQ11" s="274"/>
      <c r="AR11" s="274"/>
      <c r="AS11" s="274"/>
      <c r="AT11" s="275"/>
      <c r="AU11" s="145" t="s">
        <v>17</v>
      </c>
      <c r="AV11" s="276"/>
      <c r="AW11" s="276"/>
      <c r="AX11" s="276"/>
      <c r="AY11" s="277" t="s">
        <v>18</v>
      </c>
      <c r="AZ11" s="145" t="s">
        <v>18</v>
      </c>
      <c r="BA11" s="276"/>
      <c r="BB11" s="276"/>
      <c r="BC11" s="276"/>
      <c r="BD11" s="277" t="s">
        <v>82</v>
      </c>
      <c r="BE11" s="145" t="s">
        <v>82</v>
      </c>
      <c r="BF11" s="263"/>
      <c r="BG11" s="263"/>
      <c r="BH11" s="263"/>
      <c r="BI11" s="263"/>
      <c r="BJ11" s="278"/>
      <c r="BQ11" s="165"/>
      <c r="BR11" s="165"/>
      <c r="BS11" s="165"/>
      <c r="BT11" s="165"/>
      <c r="BU11" s="165"/>
      <c r="BV11" s="165"/>
    </row>
    <row r="12" spans="2:74" ht="15" customHeight="1" x14ac:dyDescent="0.25">
      <c r="B12" s="233" t="s">
        <v>28</v>
      </c>
      <c r="C12" s="234"/>
      <c r="D12" s="234"/>
      <c r="E12" s="234"/>
      <c r="F12" s="234"/>
      <c r="G12" s="234"/>
      <c r="H12" s="235">
        <v>2025</v>
      </c>
      <c r="I12" s="235"/>
      <c r="J12" s="236"/>
      <c r="K12" s="237"/>
      <c r="L12" s="240"/>
      <c r="M12" s="240"/>
      <c r="N12" s="240"/>
      <c r="O12" s="240"/>
      <c r="P12" s="241"/>
      <c r="Q12" s="237"/>
      <c r="R12" s="238"/>
      <c r="S12" s="238"/>
      <c r="T12" s="238"/>
      <c r="U12" s="238"/>
      <c r="V12" s="239"/>
      <c r="W12" s="237"/>
      <c r="X12" s="248"/>
      <c r="Y12" s="248"/>
      <c r="Z12" s="248"/>
      <c r="AA12" s="248"/>
      <c r="AB12" s="249"/>
      <c r="AC12" s="279">
        <f>SUM(K12,Q12,W12)</f>
        <v>0</v>
      </c>
      <c r="AD12" s="280"/>
      <c r="AE12" s="280"/>
      <c r="AF12" s="280"/>
      <c r="AG12" s="280"/>
      <c r="AH12" s="280"/>
      <c r="AI12" s="281"/>
      <c r="AJ12" s="237"/>
      <c r="AK12" s="240"/>
      <c r="AL12" s="240"/>
      <c r="AM12" s="240"/>
      <c r="AN12" s="240"/>
      <c r="AO12" s="241"/>
      <c r="AP12" s="237"/>
      <c r="AQ12" s="240"/>
      <c r="AR12" s="240"/>
      <c r="AS12" s="240"/>
      <c r="AT12" s="241"/>
      <c r="AU12" s="237"/>
      <c r="AV12" s="240"/>
      <c r="AW12" s="240"/>
      <c r="AX12" s="240"/>
      <c r="AY12" s="241"/>
      <c r="AZ12" s="237"/>
      <c r="BA12" s="240"/>
      <c r="BB12" s="240"/>
      <c r="BC12" s="240"/>
      <c r="BD12" s="241"/>
      <c r="BE12" s="237"/>
      <c r="BF12" s="240"/>
      <c r="BG12" s="240"/>
      <c r="BH12" s="240"/>
      <c r="BI12" s="240"/>
      <c r="BJ12" s="241"/>
      <c r="BQ12" s="172" t="s">
        <v>36</v>
      </c>
      <c r="BR12" s="173"/>
      <c r="BS12" s="173"/>
      <c r="BT12" s="173"/>
      <c r="BU12" s="173"/>
      <c r="BV12" s="173"/>
    </row>
    <row r="13" spans="2:74" ht="15" customHeight="1" x14ac:dyDescent="0.25">
      <c r="B13" s="233" t="s">
        <v>29</v>
      </c>
      <c r="C13" s="234"/>
      <c r="D13" s="234"/>
      <c r="E13" s="234"/>
      <c r="F13" s="234"/>
      <c r="G13" s="234"/>
      <c r="H13" s="235">
        <v>2025</v>
      </c>
      <c r="I13" s="235"/>
      <c r="J13" s="236"/>
      <c r="K13" s="237"/>
      <c r="L13" s="240"/>
      <c r="M13" s="240"/>
      <c r="N13" s="240"/>
      <c r="O13" s="240"/>
      <c r="P13" s="241"/>
      <c r="Q13" s="237"/>
      <c r="R13" s="238"/>
      <c r="S13" s="238"/>
      <c r="T13" s="238"/>
      <c r="U13" s="238"/>
      <c r="V13" s="239"/>
      <c r="W13" s="237"/>
      <c r="X13" s="248"/>
      <c r="Y13" s="248"/>
      <c r="Z13" s="248"/>
      <c r="AA13" s="248"/>
      <c r="AB13" s="249"/>
      <c r="AC13" s="279">
        <f t="shared" ref="AC13:AC23" si="0">SUM(K13,Q13,W13)</f>
        <v>0</v>
      </c>
      <c r="AD13" s="280"/>
      <c r="AE13" s="280"/>
      <c r="AF13" s="280"/>
      <c r="AG13" s="280"/>
      <c r="AH13" s="280"/>
      <c r="AI13" s="281"/>
      <c r="AJ13" s="237"/>
      <c r="AK13" s="240"/>
      <c r="AL13" s="240"/>
      <c r="AM13" s="240"/>
      <c r="AN13" s="240"/>
      <c r="AO13" s="241"/>
      <c r="AP13" s="237"/>
      <c r="AQ13" s="240"/>
      <c r="AR13" s="240"/>
      <c r="AS13" s="240"/>
      <c r="AT13" s="241"/>
      <c r="AU13" s="237"/>
      <c r="AV13" s="240"/>
      <c r="AW13" s="240"/>
      <c r="AX13" s="240"/>
      <c r="AY13" s="241"/>
      <c r="AZ13" s="237"/>
      <c r="BA13" s="240"/>
      <c r="BB13" s="240"/>
      <c r="BC13" s="240"/>
      <c r="BD13" s="241"/>
      <c r="BE13" s="237"/>
      <c r="BF13" s="240"/>
      <c r="BG13" s="240"/>
      <c r="BH13" s="240"/>
      <c r="BI13" s="240"/>
      <c r="BJ13" s="241"/>
      <c r="BQ13" s="115"/>
      <c r="BR13" s="115"/>
      <c r="BS13" s="115"/>
      <c r="BT13" s="115"/>
      <c r="BU13" s="115"/>
      <c r="BV13" s="115"/>
    </row>
    <row r="14" spans="2:74" ht="15" customHeight="1" x14ac:dyDescent="0.35">
      <c r="B14" s="233" t="s">
        <v>30</v>
      </c>
      <c r="C14" s="234"/>
      <c r="D14" s="234"/>
      <c r="E14" s="234"/>
      <c r="F14" s="234"/>
      <c r="G14" s="234"/>
      <c r="H14" s="235">
        <v>2025</v>
      </c>
      <c r="I14" s="235"/>
      <c r="J14" s="236"/>
      <c r="K14" s="237"/>
      <c r="L14" s="240"/>
      <c r="M14" s="240"/>
      <c r="N14" s="240"/>
      <c r="O14" s="240"/>
      <c r="P14" s="241"/>
      <c r="Q14" s="237"/>
      <c r="R14" s="238"/>
      <c r="S14" s="238"/>
      <c r="T14" s="238"/>
      <c r="U14" s="238"/>
      <c r="V14" s="239"/>
      <c r="W14" s="237"/>
      <c r="X14" s="248"/>
      <c r="Y14" s="248"/>
      <c r="Z14" s="248"/>
      <c r="AA14" s="248"/>
      <c r="AB14" s="249"/>
      <c r="AC14" s="279">
        <f t="shared" si="0"/>
        <v>0</v>
      </c>
      <c r="AD14" s="280"/>
      <c r="AE14" s="280"/>
      <c r="AF14" s="280"/>
      <c r="AG14" s="280"/>
      <c r="AH14" s="280"/>
      <c r="AI14" s="281"/>
      <c r="AJ14" s="237"/>
      <c r="AK14" s="240"/>
      <c r="AL14" s="240"/>
      <c r="AM14" s="240"/>
      <c r="AN14" s="240"/>
      <c r="AO14" s="241"/>
      <c r="AP14" s="237"/>
      <c r="AQ14" s="240"/>
      <c r="AR14" s="240"/>
      <c r="AS14" s="240"/>
      <c r="AT14" s="241"/>
      <c r="AU14" s="237"/>
      <c r="AV14" s="240"/>
      <c r="AW14" s="240"/>
      <c r="AX14" s="240"/>
      <c r="AY14" s="241"/>
      <c r="AZ14" s="237"/>
      <c r="BA14" s="240"/>
      <c r="BB14" s="240"/>
      <c r="BC14" s="240"/>
      <c r="BD14" s="241"/>
      <c r="BE14" s="237"/>
      <c r="BF14" s="240"/>
      <c r="BG14" s="240"/>
      <c r="BH14" s="240"/>
      <c r="BI14" s="240"/>
      <c r="BJ14" s="241"/>
      <c r="BQ14" s="46"/>
      <c r="BR14" s="166" t="s">
        <v>22</v>
      </c>
      <c r="BS14" s="166"/>
      <c r="BT14" s="166"/>
      <c r="BU14" s="166"/>
      <c r="BV14" s="166"/>
    </row>
    <row r="15" spans="2:74" ht="15" customHeight="1" x14ac:dyDescent="0.35">
      <c r="B15" s="233" t="s">
        <v>31</v>
      </c>
      <c r="C15" s="234"/>
      <c r="D15" s="234"/>
      <c r="E15" s="234"/>
      <c r="F15" s="234"/>
      <c r="G15" s="234"/>
      <c r="H15" s="235">
        <v>2025</v>
      </c>
      <c r="I15" s="235"/>
      <c r="J15" s="236"/>
      <c r="K15" s="237"/>
      <c r="L15" s="240"/>
      <c r="M15" s="240"/>
      <c r="N15" s="240"/>
      <c r="O15" s="240"/>
      <c r="P15" s="241"/>
      <c r="Q15" s="237"/>
      <c r="R15" s="238"/>
      <c r="S15" s="238"/>
      <c r="T15" s="238"/>
      <c r="U15" s="238"/>
      <c r="V15" s="239"/>
      <c r="W15" s="237"/>
      <c r="X15" s="248"/>
      <c r="Y15" s="248"/>
      <c r="Z15" s="248"/>
      <c r="AA15" s="248"/>
      <c r="AB15" s="249"/>
      <c r="AC15" s="279">
        <f t="shared" si="0"/>
        <v>0</v>
      </c>
      <c r="AD15" s="280"/>
      <c r="AE15" s="280"/>
      <c r="AF15" s="280"/>
      <c r="AG15" s="280"/>
      <c r="AH15" s="280"/>
      <c r="AI15" s="281"/>
      <c r="AJ15" s="237"/>
      <c r="AK15" s="240"/>
      <c r="AL15" s="240"/>
      <c r="AM15" s="240"/>
      <c r="AN15" s="240"/>
      <c r="AO15" s="241"/>
      <c r="AP15" s="237"/>
      <c r="AQ15" s="240"/>
      <c r="AR15" s="240"/>
      <c r="AS15" s="240"/>
      <c r="AT15" s="241"/>
      <c r="AU15" s="237"/>
      <c r="AV15" s="240"/>
      <c r="AW15" s="240"/>
      <c r="AX15" s="240"/>
      <c r="AY15" s="241"/>
      <c r="AZ15" s="237"/>
      <c r="BA15" s="240"/>
      <c r="BB15" s="240"/>
      <c r="BC15" s="240"/>
      <c r="BD15" s="241"/>
      <c r="BE15" s="237"/>
      <c r="BF15" s="240"/>
      <c r="BG15" s="240"/>
      <c r="BH15" s="240"/>
      <c r="BI15" s="240"/>
      <c r="BJ15" s="241"/>
      <c r="BQ15" s="46"/>
      <c r="BR15" s="167" t="s">
        <v>126</v>
      </c>
      <c r="BS15" s="168"/>
      <c r="BT15" s="168"/>
      <c r="BU15" s="168"/>
      <c r="BV15" s="168"/>
    </row>
    <row r="16" spans="2:74" ht="15" customHeight="1" x14ac:dyDescent="0.35">
      <c r="B16" s="233" t="s">
        <v>32</v>
      </c>
      <c r="C16" s="234"/>
      <c r="D16" s="234"/>
      <c r="E16" s="234"/>
      <c r="F16" s="234"/>
      <c r="G16" s="234"/>
      <c r="H16" s="235">
        <v>2025</v>
      </c>
      <c r="I16" s="235"/>
      <c r="J16" s="236"/>
      <c r="K16" s="237"/>
      <c r="L16" s="240"/>
      <c r="M16" s="240"/>
      <c r="N16" s="240"/>
      <c r="O16" s="240"/>
      <c r="P16" s="241"/>
      <c r="Q16" s="237"/>
      <c r="R16" s="238"/>
      <c r="S16" s="238"/>
      <c r="T16" s="238"/>
      <c r="U16" s="238"/>
      <c r="V16" s="239"/>
      <c r="W16" s="237"/>
      <c r="X16" s="248"/>
      <c r="Y16" s="248"/>
      <c r="Z16" s="248"/>
      <c r="AA16" s="248"/>
      <c r="AB16" s="249"/>
      <c r="AC16" s="279">
        <f t="shared" si="0"/>
        <v>0</v>
      </c>
      <c r="AD16" s="280"/>
      <c r="AE16" s="280"/>
      <c r="AF16" s="280"/>
      <c r="AG16" s="280"/>
      <c r="AH16" s="280"/>
      <c r="AI16" s="281"/>
      <c r="AJ16" s="237"/>
      <c r="AK16" s="240"/>
      <c r="AL16" s="240"/>
      <c r="AM16" s="240"/>
      <c r="AN16" s="240"/>
      <c r="AO16" s="241"/>
      <c r="AP16" s="237"/>
      <c r="AQ16" s="240"/>
      <c r="AR16" s="240"/>
      <c r="AS16" s="240"/>
      <c r="AT16" s="241"/>
      <c r="AU16" s="237"/>
      <c r="AV16" s="240"/>
      <c r="AW16" s="240"/>
      <c r="AX16" s="240"/>
      <c r="AY16" s="241"/>
      <c r="AZ16" s="237"/>
      <c r="BA16" s="240"/>
      <c r="BB16" s="240"/>
      <c r="BC16" s="240"/>
      <c r="BD16" s="241"/>
      <c r="BE16" s="237"/>
      <c r="BF16" s="240"/>
      <c r="BG16" s="240"/>
      <c r="BH16" s="240"/>
      <c r="BI16" s="240"/>
      <c r="BJ16" s="241"/>
      <c r="BP16" s="41"/>
      <c r="BQ16" s="47"/>
      <c r="BR16" s="169" t="s">
        <v>37</v>
      </c>
      <c r="BS16" s="169"/>
      <c r="BT16" s="169"/>
      <c r="BU16" s="169"/>
      <c r="BV16" s="169"/>
    </row>
    <row r="17" spans="2:74" ht="15" customHeight="1" x14ac:dyDescent="0.35">
      <c r="B17" s="233" t="s">
        <v>33</v>
      </c>
      <c r="C17" s="234"/>
      <c r="D17" s="234"/>
      <c r="E17" s="234"/>
      <c r="F17" s="234"/>
      <c r="G17" s="234"/>
      <c r="H17" s="235">
        <v>2025</v>
      </c>
      <c r="I17" s="235"/>
      <c r="J17" s="236"/>
      <c r="K17" s="237"/>
      <c r="L17" s="240"/>
      <c r="M17" s="240"/>
      <c r="N17" s="240"/>
      <c r="O17" s="240"/>
      <c r="P17" s="241"/>
      <c r="Q17" s="237"/>
      <c r="R17" s="238"/>
      <c r="S17" s="238"/>
      <c r="T17" s="238"/>
      <c r="U17" s="238"/>
      <c r="V17" s="239"/>
      <c r="W17" s="237"/>
      <c r="X17" s="248"/>
      <c r="Y17" s="248"/>
      <c r="Z17" s="248"/>
      <c r="AA17" s="248"/>
      <c r="AB17" s="249"/>
      <c r="AC17" s="279">
        <f t="shared" si="0"/>
        <v>0</v>
      </c>
      <c r="AD17" s="280"/>
      <c r="AE17" s="280"/>
      <c r="AF17" s="280"/>
      <c r="AG17" s="280"/>
      <c r="AH17" s="280"/>
      <c r="AI17" s="281"/>
      <c r="AJ17" s="237"/>
      <c r="AK17" s="240"/>
      <c r="AL17" s="240"/>
      <c r="AM17" s="240"/>
      <c r="AN17" s="240"/>
      <c r="AO17" s="241"/>
      <c r="AP17" s="237"/>
      <c r="AQ17" s="240"/>
      <c r="AR17" s="240"/>
      <c r="AS17" s="240"/>
      <c r="AT17" s="241"/>
      <c r="AU17" s="237"/>
      <c r="AV17" s="240"/>
      <c r="AW17" s="240"/>
      <c r="AX17" s="240"/>
      <c r="AY17" s="241"/>
      <c r="AZ17" s="237"/>
      <c r="BA17" s="240"/>
      <c r="BB17" s="240"/>
      <c r="BC17" s="240"/>
      <c r="BD17" s="241"/>
      <c r="BE17" s="237"/>
      <c r="BF17" s="240"/>
      <c r="BG17" s="240"/>
      <c r="BH17" s="240"/>
      <c r="BI17" s="240"/>
      <c r="BJ17" s="241"/>
      <c r="BQ17" s="47"/>
      <c r="BR17" s="71"/>
      <c r="BS17" s="71"/>
      <c r="BT17" s="71"/>
      <c r="BU17" s="71"/>
      <c r="BV17" s="46"/>
    </row>
    <row r="18" spans="2:74" ht="15" customHeight="1" x14ac:dyDescent="0.25">
      <c r="B18" s="233" t="s">
        <v>24</v>
      </c>
      <c r="C18" s="234"/>
      <c r="D18" s="234"/>
      <c r="E18" s="234"/>
      <c r="F18" s="234"/>
      <c r="G18" s="234"/>
      <c r="H18" s="235">
        <v>2025</v>
      </c>
      <c r="I18" s="235"/>
      <c r="J18" s="236"/>
      <c r="K18" s="237"/>
      <c r="L18" s="240"/>
      <c r="M18" s="240"/>
      <c r="N18" s="240"/>
      <c r="O18" s="240"/>
      <c r="P18" s="241"/>
      <c r="Q18" s="237"/>
      <c r="R18" s="238"/>
      <c r="S18" s="238"/>
      <c r="T18" s="238"/>
      <c r="U18" s="238"/>
      <c r="V18" s="239"/>
      <c r="W18" s="237"/>
      <c r="X18" s="248"/>
      <c r="Y18" s="248"/>
      <c r="Z18" s="248"/>
      <c r="AA18" s="248"/>
      <c r="AB18" s="249"/>
      <c r="AC18" s="279">
        <f t="shared" si="0"/>
        <v>0</v>
      </c>
      <c r="AD18" s="280"/>
      <c r="AE18" s="280"/>
      <c r="AF18" s="280"/>
      <c r="AG18" s="280"/>
      <c r="AH18" s="280"/>
      <c r="AI18" s="281"/>
      <c r="AJ18" s="237"/>
      <c r="AK18" s="240"/>
      <c r="AL18" s="240"/>
      <c r="AM18" s="240"/>
      <c r="AN18" s="240"/>
      <c r="AO18" s="241"/>
      <c r="AP18" s="237"/>
      <c r="AQ18" s="240"/>
      <c r="AR18" s="240"/>
      <c r="AS18" s="240"/>
      <c r="AT18" s="241"/>
      <c r="AU18" s="237"/>
      <c r="AV18" s="240"/>
      <c r="AW18" s="240"/>
      <c r="AX18" s="240"/>
      <c r="AY18" s="241"/>
      <c r="AZ18" s="237"/>
      <c r="BA18" s="240"/>
      <c r="BB18" s="240"/>
      <c r="BC18" s="240"/>
      <c r="BD18" s="241"/>
      <c r="BE18" s="237"/>
      <c r="BF18" s="240"/>
      <c r="BG18" s="240"/>
      <c r="BH18" s="240"/>
      <c r="BI18" s="240"/>
      <c r="BJ18" s="241"/>
      <c r="BQ18" s="170" t="s">
        <v>133</v>
      </c>
      <c r="BR18" s="171"/>
      <c r="BS18" s="171"/>
      <c r="BT18" s="171"/>
      <c r="BU18" s="171"/>
      <c r="BV18" s="171"/>
    </row>
    <row r="19" spans="2:74" ht="15" customHeight="1" x14ac:dyDescent="0.25">
      <c r="B19" s="233" t="s">
        <v>34</v>
      </c>
      <c r="C19" s="234"/>
      <c r="D19" s="234"/>
      <c r="E19" s="234"/>
      <c r="F19" s="234"/>
      <c r="G19" s="234"/>
      <c r="H19" s="235">
        <v>2025</v>
      </c>
      <c r="I19" s="235"/>
      <c r="J19" s="236"/>
      <c r="K19" s="237"/>
      <c r="L19" s="240"/>
      <c r="M19" s="240"/>
      <c r="N19" s="240"/>
      <c r="O19" s="240"/>
      <c r="P19" s="241"/>
      <c r="Q19" s="237"/>
      <c r="R19" s="238"/>
      <c r="S19" s="238"/>
      <c r="T19" s="238"/>
      <c r="U19" s="238"/>
      <c r="V19" s="239"/>
      <c r="W19" s="237"/>
      <c r="X19" s="248"/>
      <c r="Y19" s="248"/>
      <c r="Z19" s="248"/>
      <c r="AA19" s="248"/>
      <c r="AB19" s="249"/>
      <c r="AC19" s="279">
        <f t="shared" si="0"/>
        <v>0</v>
      </c>
      <c r="AD19" s="280"/>
      <c r="AE19" s="280"/>
      <c r="AF19" s="280"/>
      <c r="AG19" s="280"/>
      <c r="AH19" s="280"/>
      <c r="AI19" s="281"/>
      <c r="AJ19" s="237"/>
      <c r="AK19" s="240"/>
      <c r="AL19" s="240"/>
      <c r="AM19" s="240"/>
      <c r="AN19" s="240"/>
      <c r="AO19" s="241"/>
      <c r="AP19" s="237"/>
      <c r="AQ19" s="240"/>
      <c r="AR19" s="240"/>
      <c r="AS19" s="240"/>
      <c r="AT19" s="241"/>
      <c r="AU19" s="237"/>
      <c r="AV19" s="240"/>
      <c r="AW19" s="240"/>
      <c r="AX19" s="240"/>
      <c r="AY19" s="241"/>
      <c r="AZ19" s="237"/>
      <c r="BA19" s="240"/>
      <c r="BB19" s="240"/>
      <c r="BC19" s="240"/>
      <c r="BD19" s="241"/>
      <c r="BE19" s="237"/>
      <c r="BF19" s="240"/>
      <c r="BG19" s="240"/>
      <c r="BH19" s="240"/>
      <c r="BI19" s="240"/>
      <c r="BJ19" s="241"/>
      <c r="BQ19" s="171"/>
      <c r="BR19" s="171"/>
      <c r="BS19" s="171"/>
      <c r="BT19" s="171"/>
      <c r="BU19" s="171"/>
      <c r="BV19" s="171"/>
    </row>
    <row r="20" spans="2:74" ht="15" customHeight="1" x14ac:dyDescent="0.25">
      <c r="B20" s="233" t="s">
        <v>35</v>
      </c>
      <c r="C20" s="234"/>
      <c r="D20" s="234"/>
      <c r="E20" s="234"/>
      <c r="F20" s="234"/>
      <c r="G20" s="234"/>
      <c r="H20" s="235">
        <v>2025</v>
      </c>
      <c r="I20" s="235"/>
      <c r="J20" s="236"/>
      <c r="K20" s="237"/>
      <c r="L20" s="240"/>
      <c r="M20" s="240"/>
      <c r="N20" s="240"/>
      <c r="O20" s="240"/>
      <c r="P20" s="241"/>
      <c r="Q20" s="237"/>
      <c r="R20" s="238"/>
      <c r="S20" s="238"/>
      <c r="T20" s="238"/>
      <c r="U20" s="238"/>
      <c r="V20" s="239"/>
      <c r="W20" s="237"/>
      <c r="X20" s="248"/>
      <c r="Y20" s="248"/>
      <c r="Z20" s="248"/>
      <c r="AA20" s="248"/>
      <c r="AB20" s="249"/>
      <c r="AC20" s="279">
        <f t="shared" si="0"/>
        <v>0</v>
      </c>
      <c r="AD20" s="280"/>
      <c r="AE20" s="280"/>
      <c r="AF20" s="280"/>
      <c r="AG20" s="280"/>
      <c r="AH20" s="280"/>
      <c r="AI20" s="281"/>
      <c r="AJ20" s="237"/>
      <c r="AK20" s="240"/>
      <c r="AL20" s="240"/>
      <c r="AM20" s="240"/>
      <c r="AN20" s="240"/>
      <c r="AO20" s="241"/>
      <c r="AP20" s="237"/>
      <c r="AQ20" s="240"/>
      <c r="AR20" s="240"/>
      <c r="AS20" s="240"/>
      <c r="AT20" s="241"/>
      <c r="AU20" s="237"/>
      <c r="AV20" s="240"/>
      <c r="AW20" s="240"/>
      <c r="AX20" s="240"/>
      <c r="AY20" s="241"/>
      <c r="AZ20" s="237"/>
      <c r="BA20" s="240"/>
      <c r="BB20" s="240"/>
      <c r="BC20" s="240"/>
      <c r="BD20" s="241"/>
      <c r="BE20" s="237"/>
      <c r="BF20" s="240"/>
      <c r="BG20" s="240"/>
      <c r="BH20" s="240"/>
      <c r="BI20" s="240"/>
      <c r="BJ20" s="241"/>
      <c r="BQ20" s="171"/>
      <c r="BR20" s="171"/>
      <c r="BS20" s="171"/>
      <c r="BT20" s="171"/>
      <c r="BU20" s="171"/>
      <c r="BV20" s="171"/>
    </row>
    <row r="21" spans="2:74" ht="15" customHeight="1" x14ac:dyDescent="0.25">
      <c r="B21" s="233" t="s">
        <v>27</v>
      </c>
      <c r="C21" s="234"/>
      <c r="D21" s="234"/>
      <c r="E21" s="234"/>
      <c r="F21" s="234"/>
      <c r="G21" s="234"/>
      <c r="H21" s="235">
        <v>2025</v>
      </c>
      <c r="I21" s="235"/>
      <c r="J21" s="236"/>
      <c r="K21" s="237"/>
      <c r="L21" s="240"/>
      <c r="M21" s="240"/>
      <c r="N21" s="240"/>
      <c r="O21" s="240"/>
      <c r="P21" s="241"/>
      <c r="Q21" s="237"/>
      <c r="R21" s="238"/>
      <c r="S21" s="238"/>
      <c r="T21" s="238"/>
      <c r="U21" s="238"/>
      <c r="V21" s="239"/>
      <c r="W21" s="237"/>
      <c r="X21" s="248"/>
      <c r="Y21" s="248"/>
      <c r="Z21" s="248"/>
      <c r="AA21" s="248"/>
      <c r="AB21" s="249"/>
      <c r="AC21" s="279">
        <f t="shared" si="0"/>
        <v>0</v>
      </c>
      <c r="AD21" s="280"/>
      <c r="AE21" s="280"/>
      <c r="AF21" s="280"/>
      <c r="AG21" s="280"/>
      <c r="AH21" s="280"/>
      <c r="AI21" s="281"/>
      <c r="AJ21" s="237"/>
      <c r="AK21" s="240"/>
      <c r="AL21" s="240"/>
      <c r="AM21" s="240"/>
      <c r="AN21" s="240"/>
      <c r="AO21" s="241"/>
      <c r="AP21" s="237"/>
      <c r="AQ21" s="240"/>
      <c r="AR21" s="240"/>
      <c r="AS21" s="240"/>
      <c r="AT21" s="241"/>
      <c r="AU21" s="237"/>
      <c r="AV21" s="240"/>
      <c r="AW21" s="240"/>
      <c r="AX21" s="240"/>
      <c r="AY21" s="241"/>
      <c r="AZ21" s="237"/>
      <c r="BA21" s="240"/>
      <c r="BB21" s="240"/>
      <c r="BC21" s="240"/>
      <c r="BD21" s="241"/>
      <c r="BE21" s="237"/>
      <c r="BF21" s="240"/>
      <c r="BG21" s="240"/>
      <c r="BH21" s="240"/>
      <c r="BI21" s="240"/>
      <c r="BJ21" s="241"/>
      <c r="BQ21" s="115"/>
      <c r="BR21" s="115"/>
      <c r="BS21" s="115"/>
      <c r="BT21" s="115"/>
      <c r="BU21" s="115"/>
      <c r="BV21" s="115"/>
    </row>
    <row r="22" spans="2:74" ht="15" customHeight="1" x14ac:dyDescent="0.35">
      <c r="B22" s="233" t="s">
        <v>26</v>
      </c>
      <c r="C22" s="234"/>
      <c r="D22" s="234"/>
      <c r="E22" s="234"/>
      <c r="F22" s="234"/>
      <c r="G22" s="234"/>
      <c r="H22" s="235">
        <v>2026</v>
      </c>
      <c r="I22" s="235"/>
      <c r="J22" s="236"/>
      <c r="K22" s="237"/>
      <c r="L22" s="240"/>
      <c r="M22" s="240"/>
      <c r="N22" s="240"/>
      <c r="O22" s="240"/>
      <c r="P22" s="241"/>
      <c r="Q22" s="237"/>
      <c r="R22" s="238"/>
      <c r="S22" s="238"/>
      <c r="T22" s="238"/>
      <c r="U22" s="238"/>
      <c r="V22" s="239"/>
      <c r="W22" s="237"/>
      <c r="X22" s="248"/>
      <c r="Y22" s="248"/>
      <c r="Z22" s="248"/>
      <c r="AA22" s="248"/>
      <c r="AB22" s="249"/>
      <c r="AC22" s="279">
        <f t="shared" si="0"/>
        <v>0</v>
      </c>
      <c r="AD22" s="280"/>
      <c r="AE22" s="280"/>
      <c r="AF22" s="280"/>
      <c r="AG22" s="280"/>
      <c r="AH22" s="280"/>
      <c r="AI22" s="281"/>
      <c r="AJ22" s="237"/>
      <c r="AK22" s="240"/>
      <c r="AL22" s="240"/>
      <c r="AM22" s="240"/>
      <c r="AN22" s="240"/>
      <c r="AO22" s="241"/>
      <c r="AP22" s="237"/>
      <c r="AQ22" s="240"/>
      <c r="AR22" s="240"/>
      <c r="AS22" s="240"/>
      <c r="AT22" s="241"/>
      <c r="AU22" s="237"/>
      <c r="AV22" s="240"/>
      <c r="AW22" s="240"/>
      <c r="AX22" s="240"/>
      <c r="AY22" s="241"/>
      <c r="AZ22" s="237"/>
      <c r="BA22" s="240"/>
      <c r="BB22" s="240"/>
      <c r="BC22" s="240"/>
      <c r="BD22" s="241"/>
      <c r="BE22" s="237"/>
      <c r="BF22" s="240"/>
      <c r="BG22" s="240"/>
      <c r="BH22" s="240"/>
      <c r="BI22" s="240"/>
      <c r="BJ22" s="241"/>
      <c r="BR22" s="49"/>
      <c r="BS22" s="49"/>
      <c r="BT22" s="49"/>
    </row>
    <row r="23" spans="2:74" ht="15" customHeight="1" x14ac:dyDescent="0.25">
      <c r="B23" s="233" t="s">
        <v>25</v>
      </c>
      <c r="C23" s="234"/>
      <c r="D23" s="234"/>
      <c r="E23" s="234"/>
      <c r="F23" s="234"/>
      <c r="G23" s="234"/>
      <c r="H23" s="235">
        <v>2026</v>
      </c>
      <c r="I23" s="235"/>
      <c r="J23" s="236"/>
      <c r="K23" s="237"/>
      <c r="L23" s="240"/>
      <c r="M23" s="240"/>
      <c r="N23" s="240"/>
      <c r="O23" s="240"/>
      <c r="P23" s="241"/>
      <c r="Q23" s="237"/>
      <c r="R23" s="238"/>
      <c r="S23" s="238"/>
      <c r="T23" s="238"/>
      <c r="U23" s="238"/>
      <c r="V23" s="239"/>
      <c r="W23" s="237"/>
      <c r="X23" s="248"/>
      <c r="Y23" s="248"/>
      <c r="Z23" s="248"/>
      <c r="AA23" s="248"/>
      <c r="AB23" s="249"/>
      <c r="AC23" s="279">
        <f t="shared" si="0"/>
        <v>0</v>
      </c>
      <c r="AD23" s="280"/>
      <c r="AE23" s="280"/>
      <c r="AF23" s="280"/>
      <c r="AG23" s="280"/>
      <c r="AH23" s="280"/>
      <c r="AI23" s="281"/>
      <c r="AJ23" s="237"/>
      <c r="AK23" s="240"/>
      <c r="AL23" s="240"/>
      <c r="AM23" s="240"/>
      <c r="AN23" s="240"/>
      <c r="AO23" s="241"/>
      <c r="AP23" s="237"/>
      <c r="AQ23" s="240"/>
      <c r="AR23" s="240"/>
      <c r="AS23" s="240"/>
      <c r="AT23" s="241"/>
      <c r="AU23" s="237"/>
      <c r="AV23" s="240"/>
      <c r="AW23" s="240"/>
      <c r="AX23" s="240"/>
      <c r="AY23" s="241"/>
      <c r="AZ23" s="237"/>
      <c r="BA23" s="240"/>
      <c r="BB23" s="240"/>
      <c r="BC23" s="240"/>
      <c r="BD23" s="241"/>
      <c r="BE23" s="237"/>
      <c r="BF23" s="240"/>
      <c r="BG23" s="240"/>
      <c r="BH23" s="240"/>
      <c r="BI23" s="240"/>
      <c r="BJ23" s="241"/>
    </row>
    <row r="24" spans="2:74" ht="18" x14ac:dyDescent="0.25">
      <c r="B24" s="301" t="s">
        <v>4</v>
      </c>
      <c r="C24" s="196"/>
      <c r="D24" s="196"/>
      <c r="E24" s="196"/>
      <c r="F24" s="196"/>
      <c r="G24" s="196"/>
      <c r="H24" s="196"/>
      <c r="I24" s="196"/>
      <c r="J24" s="197"/>
      <c r="K24" s="259">
        <f>SUM(K12:K23)</f>
        <v>0</v>
      </c>
      <c r="L24" s="260"/>
      <c r="M24" s="260"/>
      <c r="N24" s="260"/>
      <c r="O24" s="260"/>
      <c r="P24" s="261"/>
      <c r="Q24" s="259">
        <f>SUM(Q12:Q23)</f>
        <v>0</v>
      </c>
      <c r="R24" s="260"/>
      <c r="S24" s="260"/>
      <c r="T24" s="260"/>
      <c r="U24" s="260"/>
      <c r="V24" s="261"/>
      <c r="W24" s="259">
        <f>SUM(W12:W23)</f>
        <v>0</v>
      </c>
      <c r="X24" s="260"/>
      <c r="Y24" s="260">
        <f>SUM(Y12:Y23)</f>
        <v>0</v>
      </c>
      <c r="Z24" s="260"/>
      <c r="AA24" s="260"/>
      <c r="AB24" s="261"/>
      <c r="AC24" s="279">
        <f>SUM(AC12:AC23)</f>
        <v>0</v>
      </c>
      <c r="AD24" s="280"/>
      <c r="AE24" s="280"/>
      <c r="AF24" s="280"/>
      <c r="AG24" s="280"/>
      <c r="AH24" s="280"/>
      <c r="AI24" s="281"/>
      <c r="AJ24" s="242">
        <f>SUM(AJ12:AJ23)</f>
        <v>0</v>
      </c>
      <c r="AK24" s="243"/>
      <c r="AL24" s="243"/>
      <c r="AM24" s="243"/>
      <c r="AN24" s="243"/>
      <c r="AO24" s="244"/>
      <c r="AP24" s="242">
        <f>SUM(AP12:AP23)</f>
        <v>0</v>
      </c>
      <c r="AQ24" s="243"/>
      <c r="AR24" s="243"/>
      <c r="AS24" s="243"/>
      <c r="AT24" s="244"/>
      <c r="AU24" s="259">
        <f>SUM(AU12:AU23)</f>
        <v>0</v>
      </c>
      <c r="AV24" s="260"/>
      <c r="AW24" s="260"/>
      <c r="AX24" s="260"/>
      <c r="AY24" s="261"/>
      <c r="AZ24" s="259">
        <f>SUM(AZ12:AZ23)</f>
        <v>0</v>
      </c>
      <c r="BA24" s="260"/>
      <c r="BB24" s="260"/>
      <c r="BC24" s="260"/>
      <c r="BD24" s="261"/>
      <c r="BE24" s="259">
        <f>SUM(BE12:BE23)</f>
        <v>0</v>
      </c>
      <c r="BF24" s="260"/>
      <c r="BG24" s="260"/>
      <c r="BH24" s="260"/>
      <c r="BI24" s="260"/>
      <c r="BJ24" s="261"/>
      <c r="BR24" s="48"/>
      <c r="BS24" s="50"/>
      <c r="BT24" s="50"/>
      <c r="BU24" s="51"/>
    </row>
    <row r="25" spans="2:74" ht="3.9" customHeight="1" x14ac:dyDescent="0.25">
      <c r="B25" s="20"/>
      <c r="BJ25" s="26"/>
      <c r="BR25" s="51"/>
      <c r="BS25" s="51"/>
      <c r="BT25" s="51"/>
      <c r="BU25" s="51"/>
    </row>
    <row r="26" spans="2:74" ht="15.9" customHeight="1" x14ac:dyDescent="0.25">
      <c r="B26" s="77"/>
      <c r="C26" s="251" t="s">
        <v>130</v>
      </c>
      <c r="D26" s="252"/>
      <c r="E26" s="252"/>
      <c r="F26" s="252"/>
      <c r="G26" s="252"/>
      <c r="H26" s="252"/>
      <c r="I26" s="252"/>
      <c r="J26" s="252"/>
      <c r="K26" s="252"/>
      <c r="L26" s="252"/>
      <c r="M26" s="252"/>
      <c r="N26" s="252"/>
      <c r="O26" s="252"/>
      <c r="P26" s="252"/>
      <c r="Q26" s="252"/>
      <c r="R26" s="252"/>
      <c r="S26" s="252"/>
      <c r="T26" s="252"/>
      <c r="U26" s="76" t="s">
        <v>5</v>
      </c>
      <c r="V26" s="247"/>
      <c r="W26" s="253"/>
      <c r="X26" s="253"/>
      <c r="Y26" s="253"/>
      <c r="Z26" s="253"/>
      <c r="AA26" s="253"/>
      <c r="AB26" s="253"/>
      <c r="AC26" s="253"/>
      <c r="AD26" s="253"/>
      <c r="AE26" s="253"/>
      <c r="AF26" s="187"/>
      <c r="AG26" s="250"/>
      <c r="AH26" s="251" t="s">
        <v>19</v>
      </c>
      <c r="AI26" s="252"/>
      <c r="AJ26" s="252"/>
      <c r="AK26" s="252"/>
      <c r="AL26" s="252"/>
      <c r="AM26" s="252"/>
      <c r="AN26" s="252"/>
      <c r="AO26" s="252"/>
      <c r="AP26" s="252"/>
      <c r="AQ26" s="252"/>
      <c r="AR26" s="252"/>
      <c r="AS26" s="252"/>
      <c r="AT26" s="252"/>
      <c r="AU26" s="252"/>
      <c r="AV26" s="252"/>
      <c r="AW26" s="252"/>
      <c r="AX26" s="252"/>
      <c r="AY26" s="252"/>
      <c r="AZ26" s="76" t="s">
        <v>5</v>
      </c>
      <c r="BA26" s="247"/>
      <c r="BB26" s="253"/>
      <c r="BC26" s="253"/>
      <c r="BD26" s="253"/>
      <c r="BE26" s="253"/>
      <c r="BF26" s="253"/>
      <c r="BG26" s="253"/>
      <c r="BH26" s="253"/>
      <c r="BI26" s="253"/>
      <c r="BJ26" s="253"/>
    </row>
    <row r="27" spans="2:74" ht="3.9" customHeight="1" x14ac:dyDescent="0.25">
      <c r="B27" s="20"/>
      <c r="BJ27" s="26"/>
      <c r="BR27" s="52"/>
      <c r="BS27" s="29"/>
      <c r="BT27" s="29"/>
      <c r="BU27" s="29"/>
      <c r="BV27" s="29"/>
    </row>
    <row r="28" spans="2:74" ht="15.9" customHeight="1" x14ac:dyDescent="0.25">
      <c r="B28" s="77"/>
      <c r="C28" s="251" t="s">
        <v>129</v>
      </c>
      <c r="D28" s="252"/>
      <c r="E28" s="252"/>
      <c r="F28" s="252"/>
      <c r="G28" s="252"/>
      <c r="H28" s="252"/>
      <c r="I28" s="252"/>
      <c r="J28" s="252"/>
      <c r="K28" s="252"/>
      <c r="L28" s="252"/>
      <c r="M28" s="252"/>
      <c r="N28" s="252"/>
      <c r="O28" s="252"/>
      <c r="P28" s="252"/>
      <c r="Q28" s="252"/>
      <c r="R28" s="252"/>
      <c r="S28" s="252"/>
      <c r="T28" s="252"/>
      <c r="U28" s="76" t="s">
        <v>5</v>
      </c>
      <c r="V28" s="247"/>
      <c r="W28" s="253"/>
      <c r="X28" s="253"/>
      <c r="Y28" s="253"/>
      <c r="Z28" s="253"/>
      <c r="AA28" s="253"/>
      <c r="AB28" s="253"/>
      <c r="AC28" s="253"/>
      <c r="AD28" s="253"/>
      <c r="AE28" s="253"/>
      <c r="AF28" s="187"/>
      <c r="AG28" s="250"/>
      <c r="AH28" s="299" t="str">
        <f>IF('Basic Information'!AN10="NPS","Employer's Contribution to NPS u/s 17.(viii)","")</f>
        <v/>
      </c>
      <c r="AI28" s="300"/>
      <c r="AJ28" s="300"/>
      <c r="AK28" s="300"/>
      <c r="AL28" s="300"/>
      <c r="AM28" s="300"/>
      <c r="AN28" s="300"/>
      <c r="AO28" s="300"/>
      <c r="AP28" s="300"/>
      <c r="AQ28" s="300"/>
      <c r="AR28" s="300"/>
      <c r="AS28" s="300"/>
      <c r="AT28" s="300"/>
      <c r="AU28" s="300"/>
      <c r="AV28" s="300"/>
      <c r="AW28" s="300"/>
      <c r="AX28" s="300"/>
      <c r="AY28" s="300"/>
      <c r="AZ28" s="76" t="str">
        <f>IF('Basic Information'!AN10="NPS",":","")</f>
        <v/>
      </c>
      <c r="BA28" s="200" t="str">
        <f>IF('Basic Information'!AN10="NPS",SUM(ROUND(SUM(K12,Q12)*0.1,0),ROUND(SUM(K13,Q13)*0.1,0),ROUND(SUM(K14,Q14)*0.1,0),ROUND(SUM(K15,Q15)*0.1,0),ROUND(SUM(K16,Q16)*0.1,0),ROUND(SUM(K17,Q17)*0.1,0),ROUND(SUM(K18,Q18)*0.1,0),ROUND(SUM(K19,Q19)*0.1,0),ROUND(SUM(K20,Q20)*0.1,0),ROUND(SUM(K21,Q21)*0.1,0),ROUND(SUM(K22,Q22)*0.1,0),ROUND(SUM(K23,Q23)*0.1,0)),"")</f>
        <v/>
      </c>
      <c r="BB28" s="262"/>
      <c r="BC28" s="262"/>
      <c r="BD28" s="262"/>
      <c r="BE28" s="262"/>
      <c r="BF28" s="262"/>
      <c r="BG28" s="262"/>
      <c r="BH28" s="262"/>
      <c r="BI28" s="262"/>
      <c r="BJ28" s="262"/>
    </row>
    <row r="29" spans="2:74" ht="3.9" customHeight="1" x14ac:dyDescent="0.25">
      <c r="B29" s="20"/>
      <c r="BJ29" s="26"/>
      <c r="BR29" s="52"/>
      <c r="BS29" s="29"/>
      <c r="BT29" s="29"/>
      <c r="BU29" s="29"/>
      <c r="BV29" s="29"/>
    </row>
    <row r="30" spans="2:74" ht="15.9" customHeight="1" x14ac:dyDescent="0.25">
      <c r="B30" s="20"/>
      <c r="C30" s="251" t="s">
        <v>139</v>
      </c>
      <c r="D30" s="252"/>
      <c r="E30" s="252"/>
      <c r="F30" s="252"/>
      <c r="G30" s="252"/>
      <c r="H30" s="252"/>
      <c r="I30" s="252"/>
      <c r="J30" s="252"/>
      <c r="K30" s="252"/>
      <c r="L30" s="252"/>
      <c r="M30" s="252"/>
      <c r="N30" s="252"/>
      <c r="O30" s="252"/>
      <c r="P30" s="252"/>
      <c r="Q30" s="252"/>
      <c r="R30" s="252"/>
      <c r="S30" s="252"/>
      <c r="T30" s="252"/>
      <c r="U30" s="76" t="s">
        <v>5</v>
      </c>
      <c r="V30" s="247"/>
      <c r="W30" s="253"/>
      <c r="X30" s="253"/>
      <c r="Y30" s="253"/>
      <c r="Z30" s="253"/>
      <c r="AA30" s="253"/>
      <c r="AB30" s="253"/>
      <c r="AC30" s="253"/>
      <c r="AD30" s="253"/>
      <c r="AE30" s="253"/>
      <c r="AF30" s="29"/>
      <c r="AG30" s="87"/>
      <c r="AH30" s="245" t="str">
        <f>IF('Basic Information'!AN10="NPS","NPS Arrear - Employer's Contribution to NPS","")</f>
        <v/>
      </c>
      <c r="AI30" s="246"/>
      <c r="AJ30" s="246"/>
      <c r="AK30" s="246"/>
      <c r="AL30" s="246"/>
      <c r="AM30" s="246"/>
      <c r="AN30" s="246"/>
      <c r="AO30" s="246"/>
      <c r="AP30" s="246"/>
      <c r="AQ30" s="246"/>
      <c r="AR30" s="246"/>
      <c r="AS30" s="246"/>
      <c r="AT30" s="246"/>
      <c r="AU30" s="246"/>
      <c r="AV30" s="246"/>
      <c r="AW30" s="246"/>
      <c r="AX30" s="246"/>
      <c r="AY30" s="246"/>
      <c r="AZ30" s="76" t="str">
        <f>IF('Basic Information'!AN10="NPS",":","")</f>
        <v/>
      </c>
      <c r="BA30" s="247"/>
      <c r="BB30" s="253"/>
      <c r="BC30" s="253"/>
      <c r="BD30" s="253"/>
      <c r="BE30" s="253"/>
      <c r="BF30" s="253"/>
      <c r="BG30" s="253"/>
      <c r="BH30" s="253"/>
      <c r="BI30" s="253"/>
      <c r="BJ30" s="253"/>
    </row>
    <row r="31" spans="2:74" ht="3.9" customHeight="1" x14ac:dyDescent="0.25">
      <c r="B31" s="20"/>
      <c r="BJ31" s="26"/>
      <c r="BR31" s="52"/>
      <c r="BS31" s="29"/>
      <c r="BT31" s="29"/>
      <c r="BU31" s="29"/>
      <c r="BV31" s="29"/>
    </row>
    <row r="32" spans="2:74" ht="14.1" customHeight="1" x14ac:dyDescent="0.25">
      <c r="B32" s="135" t="s">
        <v>231</v>
      </c>
      <c r="C32" s="136"/>
      <c r="D32" s="136"/>
      <c r="E32" s="136"/>
      <c r="F32" s="136"/>
      <c r="G32" s="136"/>
      <c r="H32" s="136"/>
      <c r="I32" s="136"/>
      <c r="J32" s="136"/>
      <c r="K32" s="136"/>
      <c r="L32" s="136"/>
      <c r="M32" s="136"/>
      <c r="N32" s="136"/>
      <c r="O32" s="136"/>
      <c r="P32" s="136"/>
      <c r="Q32" s="136"/>
      <c r="R32" s="136"/>
      <c r="S32" s="136"/>
      <c r="T32" s="136"/>
      <c r="U32" s="137"/>
      <c r="V32" s="134"/>
      <c r="W32" s="134"/>
      <c r="X32" s="134"/>
      <c r="Y32" s="134"/>
      <c r="Z32" s="134"/>
      <c r="AA32" s="134"/>
      <c r="AB32" s="134"/>
      <c r="AC32" s="134"/>
      <c r="AD32" s="134"/>
      <c r="AE32" s="134"/>
      <c r="AF32" s="134"/>
      <c r="AG32" s="15"/>
      <c r="AH32" s="15"/>
      <c r="AI32" s="15"/>
      <c r="AJ32" s="35" t="s">
        <v>115</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2"/>
      <c r="BR32" s="29"/>
      <c r="BS32" s="29"/>
      <c r="BT32" s="29"/>
      <c r="BU32" s="29"/>
      <c r="BV32" s="29"/>
    </row>
    <row r="33" spans="2:75" ht="3.9" customHeight="1" x14ac:dyDescent="0.25">
      <c r="B33" s="20"/>
      <c r="BJ33" s="26"/>
    </row>
    <row r="34" spans="2:75" ht="18" customHeight="1" x14ac:dyDescent="0.25">
      <c r="B34" s="22"/>
      <c r="C34" s="258" t="s">
        <v>83</v>
      </c>
      <c r="D34" s="258"/>
      <c r="E34" s="258"/>
      <c r="F34" s="258"/>
      <c r="G34" s="258"/>
      <c r="H34" s="258"/>
      <c r="I34" s="258"/>
      <c r="J34" s="258"/>
      <c r="K34" s="258"/>
      <c r="L34" s="258"/>
      <c r="M34" s="76" t="s">
        <v>5</v>
      </c>
      <c r="N34" s="230"/>
      <c r="O34" s="231"/>
      <c r="P34" s="231"/>
      <c r="Q34" s="231"/>
      <c r="R34" s="231"/>
      <c r="S34" s="231"/>
      <c r="T34" s="231"/>
      <c r="U34" s="232"/>
      <c r="V34" s="17"/>
      <c r="W34" s="257" t="s">
        <v>140</v>
      </c>
      <c r="X34" s="257"/>
      <c r="Y34" s="257"/>
      <c r="Z34" s="257"/>
      <c r="AA34" s="257"/>
      <c r="AB34" s="257"/>
      <c r="AC34" s="257"/>
      <c r="AD34" s="257"/>
      <c r="AE34" s="257"/>
      <c r="AF34" s="257"/>
      <c r="AG34" s="76" t="s">
        <v>5</v>
      </c>
      <c r="AH34" s="230"/>
      <c r="AI34" s="231"/>
      <c r="AJ34" s="231"/>
      <c r="AK34" s="231"/>
      <c r="AL34" s="231"/>
      <c r="AM34" s="231"/>
      <c r="AN34" s="231"/>
      <c r="AO34" s="232"/>
      <c r="AP34" s="17"/>
      <c r="AQ34" s="257" t="s">
        <v>141</v>
      </c>
      <c r="AR34" s="257"/>
      <c r="AS34" s="257"/>
      <c r="AT34" s="257"/>
      <c r="AU34" s="257"/>
      <c r="AV34" s="257"/>
      <c r="AW34" s="257"/>
      <c r="AX34" s="257"/>
      <c r="AY34" s="257"/>
      <c r="AZ34" s="257"/>
      <c r="BA34" s="201"/>
      <c r="BB34" s="76" t="s">
        <v>5</v>
      </c>
      <c r="BC34" s="230"/>
      <c r="BD34" s="231"/>
      <c r="BE34" s="231"/>
      <c r="BF34" s="231"/>
      <c r="BG34" s="231"/>
      <c r="BH34" s="231"/>
      <c r="BI34" s="231"/>
      <c r="BJ34" s="232"/>
    </row>
    <row r="35" spans="2:75" ht="3.9" customHeight="1" x14ac:dyDescent="0.25">
      <c r="B35" s="20"/>
      <c r="BJ35" s="26"/>
    </row>
    <row r="36" spans="2:75" ht="15" customHeight="1" x14ac:dyDescent="0.25">
      <c r="B36" s="254" t="s">
        <v>232</v>
      </c>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76" t="s">
        <v>5</v>
      </c>
      <c r="AV36" s="200">
        <f>IF('Basic Information'!AN10="NPS",SUM(AC24,V26,BA26,V28,BA28,V30,BA30,N34,AH34,BC34),SUM(AC24,V26,BA26,V28,V30,N34,AH34,BC34))</f>
        <v>0</v>
      </c>
      <c r="AW36" s="200"/>
      <c r="AX36" s="200"/>
      <c r="AY36" s="200"/>
      <c r="AZ36" s="200"/>
      <c r="BA36" s="200"/>
      <c r="BB36" s="200"/>
      <c r="BC36" s="200"/>
      <c r="BD36" s="200"/>
      <c r="BE36" s="200"/>
      <c r="BF36" s="200"/>
      <c r="BG36" s="200"/>
      <c r="BH36" s="200"/>
      <c r="BI36" s="200"/>
      <c r="BJ36" s="200"/>
    </row>
    <row r="37" spans="2:75" ht="3.9" customHeight="1" x14ac:dyDescent="0.25">
      <c r="B37" s="20"/>
      <c r="BJ37" s="26"/>
      <c r="BQ37" s="53"/>
      <c r="BR37" s="53"/>
      <c r="BS37" s="53"/>
      <c r="BT37" s="53"/>
      <c r="BU37" s="53"/>
      <c r="BV37" s="53"/>
    </row>
    <row r="38" spans="2:75" ht="14.1" customHeight="1" x14ac:dyDescent="0.25">
      <c r="B38" s="255" t="s">
        <v>213</v>
      </c>
      <c r="C38" s="136"/>
      <c r="D38" s="136"/>
      <c r="E38" s="136"/>
      <c r="F38" s="136"/>
      <c r="G38" s="136"/>
      <c r="H38" s="136"/>
      <c r="I38" s="136"/>
      <c r="J38" s="136"/>
      <c r="K38" s="136"/>
      <c r="L38" s="136"/>
      <c r="M38" s="136"/>
      <c r="N38" s="136"/>
      <c r="O38" s="136"/>
      <c r="P38" s="136"/>
      <c r="Q38" s="136"/>
      <c r="R38" s="136"/>
      <c r="S38" s="136"/>
      <c r="T38" s="136"/>
      <c r="U38" s="137"/>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256"/>
      <c r="BP38" s="176" t="str">
        <f>IF(AND(AK40&lt;&gt;0,V26=0),"Ensure that Leave Travel Concession is included in salary income.",IF(AND(AK40&lt;&gt;0,AK40&gt;V26),"The deduction for Leave Travel Allowance under Section 11(1) with Schedule-III(8) is limited to the amount included in the salary as per Section 16.",""))</f>
        <v/>
      </c>
      <c r="BQ38" s="176"/>
      <c r="BR38" s="176"/>
      <c r="BS38" s="176"/>
      <c r="BT38" s="176"/>
      <c r="BU38" s="176"/>
      <c r="BV38" s="176"/>
      <c r="BW38" s="176"/>
    </row>
    <row r="39" spans="2:75" ht="3.9" customHeight="1" x14ac:dyDescent="0.25">
      <c r="B39" s="20"/>
      <c r="BJ39" s="26"/>
      <c r="BP39" s="176"/>
      <c r="BQ39" s="176"/>
      <c r="BR39" s="176"/>
      <c r="BS39" s="176"/>
      <c r="BT39" s="176"/>
      <c r="BU39" s="176"/>
      <c r="BV39" s="176"/>
      <c r="BW39" s="176"/>
    </row>
    <row r="40" spans="2:75" ht="14.4" x14ac:dyDescent="0.25">
      <c r="B40" s="20"/>
      <c r="C40" s="294" t="s">
        <v>163</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5"/>
      <c r="AJ40" s="296"/>
      <c r="AK40" s="213"/>
      <c r="AL40" s="297"/>
      <c r="AM40" s="297"/>
      <c r="AN40" s="297"/>
      <c r="AO40" s="297"/>
      <c r="AP40" s="297"/>
      <c r="AQ40" s="297"/>
      <c r="AR40" s="297"/>
      <c r="AS40" s="297"/>
      <c r="AT40" s="298"/>
      <c r="AU40" s="76" t="s">
        <v>5</v>
      </c>
      <c r="AV40" s="200">
        <f>IF(AK40&lt;&gt;0,IF(AK40&lt;=V26,AK40,V26),0)</f>
        <v>0</v>
      </c>
      <c r="AW40" s="200"/>
      <c r="AX40" s="200"/>
      <c r="AY40" s="200"/>
      <c r="AZ40" s="200"/>
      <c r="BA40" s="200"/>
      <c r="BB40" s="200"/>
      <c r="BC40" s="200"/>
      <c r="BD40" s="200"/>
      <c r="BE40" s="200"/>
      <c r="BF40" s="200"/>
      <c r="BG40" s="200"/>
      <c r="BH40" s="200"/>
      <c r="BI40" s="200"/>
      <c r="BJ40" s="200"/>
      <c r="BP40" s="176"/>
      <c r="BQ40" s="176"/>
      <c r="BR40" s="176"/>
      <c r="BS40" s="176"/>
      <c r="BT40" s="176"/>
      <c r="BU40" s="176"/>
      <c r="BV40" s="176"/>
      <c r="BW40" s="176"/>
    </row>
    <row r="41" spans="2:75" ht="3.9" customHeight="1" x14ac:dyDescent="0.25">
      <c r="B41" s="20"/>
      <c r="BJ41" s="26"/>
      <c r="BP41" s="176"/>
      <c r="BQ41" s="176"/>
      <c r="BR41" s="176"/>
      <c r="BS41" s="176"/>
      <c r="BT41" s="176"/>
      <c r="BU41" s="176"/>
      <c r="BV41" s="176"/>
      <c r="BW41" s="176"/>
    </row>
    <row r="42" spans="2:75" ht="14.4" x14ac:dyDescent="0.25">
      <c r="B42" s="20"/>
      <c r="C42" s="325" t="s">
        <v>165</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7"/>
      <c r="AK42" s="213"/>
      <c r="AL42" s="297"/>
      <c r="AM42" s="297"/>
      <c r="AN42" s="297"/>
      <c r="AO42" s="297"/>
      <c r="AP42" s="297"/>
      <c r="AQ42" s="297"/>
      <c r="AR42" s="297"/>
      <c r="AS42" s="297"/>
      <c r="AT42" s="298"/>
      <c r="AU42" s="76" t="s">
        <v>5</v>
      </c>
      <c r="AV42" s="200">
        <f>IF(AND(AK42&lt;&gt;0,W24&lt;&gt;0,-AV60=0,AV91=0,AV135=0,AV137=0),MIN(W24,ROUND(0.4*(K24+Q24),0),IF(AK42&gt;ROUND(0.1*(K24+Q24),0),AK42-ROUND(0.1*(K24+Q24),0),0)),0)</f>
        <v>0</v>
      </c>
      <c r="AW42" s="200"/>
      <c r="AX42" s="200"/>
      <c r="AY42" s="200"/>
      <c r="AZ42" s="200"/>
      <c r="BA42" s="200"/>
      <c r="BB42" s="200"/>
      <c r="BC42" s="200"/>
      <c r="BD42" s="200"/>
      <c r="BE42" s="200"/>
      <c r="BF42" s="200"/>
      <c r="BG42" s="200"/>
      <c r="BH42" s="200"/>
      <c r="BI42" s="200"/>
      <c r="BJ42" s="200"/>
      <c r="BP42" s="132"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12BB.",IF(AND(AK42&lt;&gt;0,W24=0),"Since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32"/>
      <c r="BR42" s="132"/>
      <c r="BS42" s="132"/>
      <c r="BT42" s="132"/>
      <c r="BU42" s="132"/>
      <c r="BV42" s="132"/>
      <c r="BW42" s="132"/>
    </row>
    <row r="43" spans="2:75" ht="3.9" customHeight="1" x14ac:dyDescent="0.25">
      <c r="B43" s="20"/>
      <c r="BJ43" s="26"/>
      <c r="BP43" s="132"/>
      <c r="BQ43" s="132"/>
      <c r="BR43" s="132"/>
      <c r="BS43" s="132"/>
      <c r="BT43" s="132"/>
      <c r="BU43" s="132"/>
      <c r="BV43" s="132"/>
      <c r="BW43" s="132"/>
    </row>
    <row r="44" spans="2:75" x14ac:dyDescent="0.25">
      <c r="B44" s="254" t="s">
        <v>128</v>
      </c>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76" t="s">
        <v>5</v>
      </c>
      <c r="AV44" s="200">
        <f>IF(AV36&gt;SUM(AV40,AV42),AV36-SUM(AV40,AV42),0)</f>
        <v>0</v>
      </c>
      <c r="AW44" s="200"/>
      <c r="AX44" s="200"/>
      <c r="AY44" s="200"/>
      <c r="AZ44" s="200"/>
      <c r="BA44" s="200"/>
      <c r="BB44" s="200"/>
      <c r="BC44" s="200"/>
      <c r="BD44" s="200"/>
      <c r="BE44" s="200"/>
      <c r="BF44" s="200"/>
      <c r="BG44" s="200"/>
      <c r="BH44" s="200"/>
      <c r="BI44" s="200"/>
      <c r="BJ44" s="200"/>
      <c r="BP44" s="132"/>
      <c r="BQ44" s="132"/>
      <c r="BR44" s="132"/>
      <c r="BS44" s="132"/>
      <c r="BT44" s="132"/>
      <c r="BU44" s="132"/>
      <c r="BV44" s="132"/>
      <c r="BW44" s="132"/>
    </row>
    <row r="45" spans="2:75" ht="3.9" customHeight="1" x14ac:dyDescent="0.25">
      <c r="BP45" s="132"/>
      <c r="BQ45" s="132"/>
      <c r="BR45" s="132"/>
      <c r="BS45" s="132"/>
      <c r="BT45" s="132"/>
      <c r="BU45" s="132"/>
      <c r="BV45" s="132"/>
      <c r="BW45" s="132"/>
    </row>
    <row r="46" spans="2:75" x14ac:dyDescent="0.25">
      <c r="B46" s="192" t="s">
        <v>164</v>
      </c>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9"/>
      <c r="AV46" s="19"/>
      <c r="AW46" s="19"/>
      <c r="AX46" s="19"/>
      <c r="AY46" s="19"/>
      <c r="AZ46" s="19"/>
      <c r="BA46" s="19"/>
      <c r="BB46" s="19"/>
      <c r="BC46" s="19"/>
      <c r="BD46" s="19"/>
      <c r="BE46" s="19"/>
      <c r="BF46" s="19"/>
      <c r="BG46" s="19"/>
      <c r="BH46" s="19"/>
      <c r="BI46" s="19"/>
      <c r="BJ46" s="43"/>
    </row>
    <row r="47" spans="2:75" ht="3.9" customHeight="1" x14ac:dyDescent="0.25">
      <c r="B47" s="20"/>
      <c r="BJ47" s="26"/>
    </row>
    <row r="48" spans="2:75" x14ac:dyDescent="0.25">
      <c r="B48" s="54"/>
      <c r="C48" s="201" t="s">
        <v>166</v>
      </c>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76" t="s">
        <v>5</v>
      </c>
      <c r="AV48" s="200">
        <f>IF(AC24&lt;&gt;0,SUM(BQ48,BS48),0)</f>
        <v>0</v>
      </c>
      <c r="AW48" s="200"/>
      <c r="AX48" s="200"/>
      <c r="AY48" s="200"/>
      <c r="AZ48" s="200"/>
      <c r="BA48" s="200"/>
      <c r="BB48" s="200"/>
      <c r="BC48" s="200"/>
      <c r="BD48" s="200"/>
      <c r="BE48" s="200"/>
      <c r="BF48" s="200"/>
      <c r="BG48" s="200"/>
      <c r="BH48" s="200"/>
      <c r="BI48" s="200"/>
      <c r="BJ48" s="200"/>
      <c r="BP48" s="41">
        <f>SUM(AC12,AC13,AC14,AC15,AC16,AC17)</f>
        <v>0</v>
      </c>
      <c r="BQ48" s="41">
        <f>IF(BP48&lt;12000,0,IF(AND(BP48&gt;=12000,BP48&lt;18000),320,IF(AND(BP48&gt;=18000,BP48&lt;30000),450,IF(AND(BP48&gt;=30000,BP48&lt;45000),600,IF(AND(BP48&gt;=45000,BP48&lt;100000),750,IF(AND(BP48&gt;=100000,BP48&lt;125000),1000,1250))))))</f>
        <v>0</v>
      </c>
      <c r="BR48" s="41">
        <f>SUM(AC18,AC19,AC20,AC21,AC22,AC23)</f>
        <v>0</v>
      </c>
      <c r="BS48" s="41">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5"/>
      <c r="C50" s="222" t="s">
        <v>167</v>
      </c>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76" t="s">
        <v>5</v>
      </c>
      <c r="AV50" s="193">
        <f>IF(AV44&lt;50000,AV44,50000)</f>
        <v>0</v>
      </c>
      <c r="AW50" s="194"/>
      <c r="AX50" s="194"/>
      <c r="AY50" s="194"/>
      <c r="AZ50" s="194"/>
      <c r="BA50" s="194"/>
      <c r="BB50" s="194"/>
      <c r="BC50" s="194"/>
      <c r="BD50" s="194"/>
      <c r="BE50" s="194"/>
      <c r="BF50" s="194"/>
      <c r="BG50" s="194"/>
      <c r="BH50" s="194"/>
      <c r="BI50" s="194"/>
      <c r="BJ50" s="195"/>
      <c r="BP50" s="41"/>
      <c r="BQ50" s="41"/>
      <c r="BR50" s="41"/>
      <c r="BS50" s="41"/>
    </row>
    <row r="51" spans="2:76" ht="3.9" customHeight="1" x14ac:dyDescent="0.25">
      <c r="B51" s="20"/>
      <c r="BJ51" s="26"/>
    </row>
    <row r="52" spans="2:76" x14ac:dyDescent="0.25">
      <c r="B52" s="254" t="s">
        <v>168</v>
      </c>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76" t="s">
        <v>5</v>
      </c>
      <c r="AV52" s="200">
        <f>AV44-SUM(AV48,AV50)</f>
        <v>0</v>
      </c>
      <c r="AW52" s="200"/>
      <c r="AX52" s="200"/>
      <c r="AY52" s="200"/>
      <c r="AZ52" s="200"/>
      <c r="BA52" s="200"/>
      <c r="BB52" s="200"/>
      <c r="BC52" s="200"/>
      <c r="BD52" s="200"/>
      <c r="BE52" s="200"/>
      <c r="BF52" s="200"/>
      <c r="BG52" s="200"/>
      <c r="BH52" s="200"/>
      <c r="BI52" s="200"/>
      <c r="BJ52" s="200"/>
    </row>
    <row r="53" spans="2:76" ht="3.9" customHeight="1" x14ac:dyDescent="0.25"/>
    <row r="54" spans="2:76" x14ac:dyDescent="0.25">
      <c r="B54" s="133" t="s">
        <v>169</v>
      </c>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15"/>
      <c r="AV54" s="15"/>
      <c r="AW54" s="15"/>
      <c r="AX54" s="15"/>
      <c r="AY54" s="15"/>
      <c r="AZ54" s="15"/>
      <c r="BA54" s="15"/>
      <c r="BB54" s="15"/>
      <c r="BC54" s="15"/>
      <c r="BD54" s="15"/>
      <c r="BE54" s="15"/>
      <c r="BF54" s="15"/>
      <c r="BG54" s="15"/>
      <c r="BH54" s="15"/>
      <c r="BI54" s="15"/>
      <c r="BJ54" s="42"/>
    </row>
    <row r="55" spans="2:76" ht="3.9" customHeight="1" x14ac:dyDescent="0.25">
      <c r="B55" s="20"/>
      <c r="BJ55" s="26"/>
    </row>
    <row r="56" spans="2:76" ht="26.1" customHeight="1" x14ac:dyDescent="0.25">
      <c r="B56" s="20"/>
      <c r="C56" s="285" t="s">
        <v>238</v>
      </c>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7"/>
      <c r="AK56" s="287"/>
      <c r="AL56" s="287"/>
      <c r="AM56" s="287"/>
      <c r="AN56" s="288"/>
      <c r="AO56" s="288"/>
      <c r="AP56" s="288"/>
      <c r="AQ56" s="288"/>
      <c r="AR56" s="216"/>
      <c r="AS56" s="282" t="s">
        <v>43</v>
      </c>
      <c r="AT56" s="283"/>
      <c r="AU56" s="283"/>
      <c r="AV56" s="283"/>
      <c r="AW56" s="283"/>
      <c r="AX56" s="283"/>
      <c r="AY56" s="284"/>
      <c r="BJ56" s="26"/>
      <c r="BL56" s="75" t="str">
        <f>IF(AND(NOT(ISBLANK(AV58)), OR(ISBLANK(AS56),AS56="SELECT")),"Please answer the question related to House Property.","")</f>
        <v/>
      </c>
    </row>
    <row r="57" spans="2:76" ht="3.9" customHeight="1" x14ac:dyDescent="0.25">
      <c r="B57" s="20"/>
      <c r="BJ57" s="26"/>
    </row>
    <row r="58" spans="2:76" ht="13.8" customHeight="1" x14ac:dyDescent="0.25">
      <c r="B58" s="20"/>
      <c r="C58" s="201" t="s">
        <v>170</v>
      </c>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76" t="s">
        <v>5</v>
      </c>
      <c r="AV58" s="247"/>
      <c r="AW58" s="247"/>
      <c r="AX58" s="247"/>
      <c r="AY58" s="247"/>
      <c r="AZ58" s="247"/>
      <c r="BA58" s="247"/>
      <c r="BB58" s="247"/>
      <c r="BC58" s="247"/>
      <c r="BD58" s="247"/>
      <c r="BE58" s="247"/>
      <c r="BF58" s="247"/>
      <c r="BG58" s="247"/>
      <c r="BH58" s="247"/>
      <c r="BI58" s="247"/>
      <c r="BJ58" s="247"/>
      <c r="BP58" s="132"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32"/>
      <c r="BR58" s="132"/>
      <c r="BS58" s="132"/>
      <c r="BT58" s="132"/>
      <c r="BU58" s="132"/>
      <c r="BV58" s="132"/>
      <c r="BW58" s="132"/>
      <c r="BX58" s="132"/>
    </row>
    <row r="59" spans="2:76" ht="3.9" customHeight="1" x14ac:dyDescent="0.25">
      <c r="B59" s="20"/>
      <c r="BJ59" s="26"/>
      <c r="BP59" s="132"/>
      <c r="BQ59" s="132"/>
      <c r="BR59" s="132"/>
      <c r="BS59" s="132"/>
      <c r="BT59" s="132"/>
      <c r="BU59" s="132"/>
      <c r="BV59" s="132"/>
      <c r="BW59" s="132"/>
      <c r="BX59" s="132"/>
    </row>
    <row r="60" spans="2:76" x14ac:dyDescent="0.25">
      <c r="B60" s="22"/>
      <c r="C60" s="254" t="s">
        <v>84</v>
      </c>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76" t="s">
        <v>5</v>
      </c>
      <c r="AV60" s="200">
        <f>IF(OR(AS56="Select",ISBLANK(AS56)),0,IF(AS56="Yes",IF(AV58&lt;=200000,-AV58,-200000),IF(AV58&lt;=30000,-AV58,-30000)))</f>
        <v>0</v>
      </c>
      <c r="AW60" s="200"/>
      <c r="AX60" s="200"/>
      <c r="AY60" s="200"/>
      <c r="AZ60" s="200"/>
      <c r="BA60" s="200"/>
      <c r="BB60" s="200"/>
      <c r="BC60" s="200"/>
      <c r="BD60" s="200"/>
      <c r="BE60" s="200"/>
      <c r="BF60" s="200"/>
      <c r="BG60" s="200"/>
      <c r="BH60" s="200"/>
      <c r="BI60" s="200"/>
      <c r="BJ60" s="200"/>
      <c r="BP60" s="132"/>
      <c r="BQ60" s="132"/>
      <c r="BR60" s="132"/>
      <c r="BS60" s="132"/>
      <c r="BT60" s="132"/>
      <c r="BU60" s="132"/>
      <c r="BV60" s="132"/>
      <c r="BW60" s="132"/>
      <c r="BX60" s="132"/>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133" t="s">
        <v>172</v>
      </c>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15"/>
      <c r="AV62" s="15"/>
      <c r="AW62" s="15"/>
      <c r="AX62" s="15"/>
      <c r="AY62" s="15"/>
      <c r="AZ62" s="15"/>
      <c r="BA62" s="15"/>
      <c r="BB62" s="15"/>
      <c r="BC62" s="15"/>
      <c r="BD62" s="15"/>
      <c r="BE62" s="15"/>
      <c r="BF62" s="15"/>
      <c r="BG62" s="15"/>
      <c r="BH62" s="15"/>
      <c r="BI62" s="15"/>
      <c r="BJ62" s="42"/>
    </row>
    <row r="63" spans="2:76" ht="3.9" customHeight="1" x14ac:dyDescent="0.25">
      <c r="B63" s="20"/>
      <c r="BJ63" s="26"/>
    </row>
    <row r="64" spans="2:76" x14ac:dyDescent="0.25">
      <c r="B64" s="20"/>
      <c r="C64" s="201" t="s">
        <v>116</v>
      </c>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76" t="s">
        <v>5</v>
      </c>
      <c r="AV64" s="247"/>
      <c r="AW64" s="247"/>
      <c r="AX64" s="247"/>
      <c r="AY64" s="247"/>
      <c r="AZ64" s="247"/>
      <c r="BA64" s="247"/>
      <c r="BB64" s="247"/>
      <c r="BC64" s="247"/>
      <c r="BD64" s="247"/>
      <c r="BE64" s="247"/>
      <c r="BF64" s="247"/>
      <c r="BG64" s="247"/>
      <c r="BH64" s="247"/>
      <c r="BI64" s="247"/>
      <c r="BJ64" s="247"/>
    </row>
    <row r="65" spans="2:75" ht="3.9" customHeight="1" x14ac:dyDescent="0.25">
      <c r="B65" s="20"/>
      <c r="BJ65" s="26"/>
    </row>
    <row r="66" spans="2:75" x14ac:dyDescent="0.25">
      <c r="B66" s="20"/>
      <c r="C66" s="201" t="s">
        <v>171</v>
      </c>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76" t="s">
        <v>5</v>
      </c>
      <c r="AV66" s="247"/>
      <c r="AW66" s="247"/>
      <c r="AX66" s="247"/>
      <c r="AY66" s="247"/>
      <c r="AZ66" s="247"/>
      <c r="BA66" s="247"/>
      <c r="BB66" s="247"/>
      <c r="BC66" s="247"/>
      <c r="BD66" s="247"/>
      <c r="BE66" s="247"/>
      <c r="BF66" s="247"/>
      <c r="BG66" s="247"/>
      <c r="BH66" s="247"/>
      <c r="BI66" s="247"/>
      <c r="BJ66" s="247"/>
    </row>
    <row r="67" spans="2:75" ht="3.9" customHeight="1" x14ac:dyDescent="0.25">
      <c r="B67" s="20"/>
      <c r="BJ67" s="26"/>
    </row>
    <row r="68" spans="2:75" x14ac:dyDescent="0.25">
      <c r="B68" s="20"/>
      <c r="C68" s="201" t="s">
        <v>85</v>
      </c>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76" t="s">
        <v>5</v>
      </c>
      <c r="AV68" s="247"/>
      <c r="AW68" s="247"/>
      <c r="AX68" s="247"/>
      <c r="AY68" s="247"/>
      <c r="AZ68" s="247"/>
      <c r="BA68" s="247"/>
      <c r="BB68" s="247"/>
      <c r="BC68" s="247"/>
      <c r="BD68" s="247"/>
      <c r="BE68" s="247"/>
      <c r="BF68" s="247"/>
      <c r="BG68" s="247"/>
      <c r="BH68" s="247"/>
      <c r="BI68" s="247"/>
      <c r="BJ68" s="247"/>
    </row>
    <row r="69" spans="2:75" ht="3.9" customHeight="1" x14ac:dyDescent="0.25">
      <c r="B69" s="20"/>
      <c r="BJ69" s="26"/>
    </row>
    <row r="70" spans="2:75" x14ac:dyDescent="0.25">
      <c r="B70" s="22"/>
      <c r="C70" s="201" t="s">
        <v>86</v>
      </c>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76" t="s">
        <v>5</v>
      </c>
      <c r="AV70" s="247"/>
      <c r="AW70" s="247"/>
      <c r="AX70" s="247"/>
      <c r="AY70" s="247"/>
      <c r="AZ70" s="247"/>
      <c r="BA70" s="247"/>
      <c r="BB70" s="247"/>
      <c r="BC70" s="247"/>
      <c r="BD70" s="247"/>
      <c r="BE70" s="247"/>
      <c r="BF70" s="247"/>
      <c r="BG70" s="247"/>
      <c r="BH70" s="247"/>
      <c r="BI70" s="247"/>
      <c r="BJ70" s="247"/>
    </row>
    <row r="71" spans="2:75" ht="3.9" customHeight="1" x14ac:dyDescent="0.25"/>
    <row r="72" spans="2:75" ht="18" customHeight="1" x14ac:dyDescent="0.25">
      <c r="B72" s="254" t="s">
        <v>205</v>
      </c>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76" t="s">
        <v>5</v>
      </c>
      <c r="AV72" s="200">
        <f>IF(SIGN(SUM(BP72,AV60))&lt;&gt;-1,SUM(BP72,AV60),0)</f>
        <v>0</v>
      </c>
      <c r="AW72" s="200"/>
      <c r="AX72" s="200"/>
      <c r="AY72" s="200"/>
      <c r="AZ72" s="200"/>
      <c r="BA72" s="200"/>
      <c r="BB72" s="200"/>
      <c r="BC72" s="200"/>
      <c r="BD72" s="200"/>
      <c r="BE72" s="200"/>
      <c r="BF72" s="200"/>
      <c r="BG72" s="200"/>
      <c r="BH72" s="200"/>
      <c r="BI72" s="200"/>
      <c r="BJ72" s="200"/>
      <c r="BP72" s="41">
        <f>SUM(AV52,AV64,AV66,AV68,AV70)</f>
        <v>0</v>
      </c>
    </row>
    <row r="73" spans="2:75" ht="3.9" customHeight="1" x14ac:dyDescent="0.25"/>
    <row r="74" spans="2:75" ht="3.9" customHeight="1" x14ac:dyDescent="0.25"/>
    <row r="75" spans="2:75" ht="30" customHeight="1" x14ac:dyDescent="0.25">
      <c r="B75" s="323" t="s">
        <v>173</v>
      </c>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198" t="s">
        <v>87</v>
      </c>
      <c r="AK75" s="199"/>
      <c r="AL75" s="199"/>
      <c r="AM75" s="199"/>
      <c r="AN75" s="199"/>
      <c r="AO75" s="199"/>
      <c r="AP75" s="199"/>
      <c r="AQ75" s="199"/>
      <c r="AR75" s="199"/>
      <c r="AS75" s="199"/>
      <c r="AT75" s="199"/>
      <c r="AU75" s="199"/>
      <c r="AV75" s="198" t="s">
        <v>88</v>
      </c>
      <c r="AW75" s="199"/>
      <c r="AX75" s="199"/>
      <c r="AY75" s="199"/>
      <c r="AZ75" s="199"/>
      <c r="BA75" s="199"/>
      <c r="BB75" s="199"/>
      <c r="BC75" s="199"/>
      <c r="BD75" s="199"/>
      <c r="BE75" s="199"/>
      <c r="BF75" s="199"/>
      <c r="BG75" s="199"/>
      <c r="BH75" s="199"/>
      <c r="BI75" s="199"/>
      <c r="BJ75" s="199"/>
    </row>
    <row r="76" spans="2:75" ht="5.0999999999999996" customHeight="1" x14ac:dyDescent="0.25">
      <c r="B76" s="20"/>
      <c r="BJ76" s="26"/>
      <c r="BP76" s="132" t="str">
        <f>IF(SUM(AV77,AV79)&gt;500000,"As per Schedule II, interest income accrued during the tax year is taxable if contributions made on or after April 1, 2021, exceed ₹ 5,00,000 in a fund without employer contribution or ₹ 2,50,000 in other cases. ","")</f>
        <v/>
      </c>
      <c r="BQ76" s="174"/>
      <c r="BR76" s="174"/>
      <c r="BS76" s="174"/>
      <c r="BT76" s="174"/>
      <c r="BU76" s="174"/>
      <c r="BV76" s="174"/>
      <c r="BW76" s="174"/>
    </row>
    <row r="77" spans="2:75" ht="15" customHeight="1" x14ac:dyDescent="0.25">
      <c r="B77" s="20"/>
      <c r="C77" s="201" t="s">
        <v>175</v>
      </c>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76" t="s">
        <v>5</v>
      </c>
      <c r="AJ77" s="322">
        <f>BE24</f>
        <v>0</v>
      </c>
      <c r="AK77" s="322"/>
      <c r="AL77" s="322"/>
      <c r="AM77" s="322"/>
      <c r="AN77" s="322"/>
      <c r="AO77" s="322"/>
      <c r="AP77" s="322"/>
      <c r="AQ77" s="322"/>
      <c r="AR77" s="322"/>
      <c r="AS77" s="322"/>
      <c r="AT77" s="199"/>
      <c r="AU77" s="199"/>
      <c r="AV77" s="200">
        <f>AJ77</f>
        <v>0</v>
      </c>
      <c r="AW77" s="200"/>
      <c r="AX77" s="200"/>
      <c r="AY77" s="200"/>
      <c r="AZ77" s="200"/>
      <c r="BA77" s="200"/>
      <c r="BB77" s="200"/>
      <c r="BC77" s="200"/>
      <c r="BD77" s="200"/>
      <c r="BE77" s="200"/>
      <c r="BF77" s="200"/>
      <c r="BG77" s="200"/>
      <c r="BH77" s="200"/>
      <c r="BI77" s="200"/>
      <c r="BJ77" s="200"/>
      <c r="BP77" s="174"/>
      <c r="BQ77" s="174"/>
      <c r="BR77" s="174"/>
      <c r="BS77" s="174"/>
      <c r="BT77" s="174"/>
      <c r="BU77" s="174"/>
      <c r="BV77" s="174"/>
      <c r="BW77" s="174"/>
    </row>
    <row r="78" spans="2:75" ht="5.0999999999999996" customHeight="1" x14ac:dyDescent="0.25">
      <c r="B78" s="20"/>
      <c r="C78" s="20"/>
      <c r="BJ78" s="26"/>
      <c r="BP78" s="174"/>
      <c r="BQ78" s="174"/>
      <c r="BR78" s="174"/>
      <c r="BS78" s="174"/>
      <c r="BT78" s="174"/>
      <c r="BU78" s="174"/>
      <c r="BV78" s="174"/>
      <c r="BW78" s="174"/>
    </row>
    <row r="79" spans="2:75" x14ac:dyDescent="0.25">
      <c r="B79" s="20"/>
      <c r="C79" s="201" t="s">
        <v>176</v>
      </c>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76" t="s">
        <v>5</v>
      </c>
      <c r="AJ79" s="322">
        <f>N34</f>
        <v>0</v>
      </c>
      <c r="AK79" s="322"/>
      <c r="AL79" s="322"/>
      <c r="AM79" s="322"/>
      <c r="AN79" s="322"/>
      <c r="AO79" s="322"/>
      <c r="AP79" s="322"/>
      <c r="AQ79" s="322"/>
      <c r="AR79" s="322"/>
      <c r="AS79" s="322"/>
      <c r="AT79" s="199"/>
      <c r="AU79" s="199"/>
      <c r="AV79" s="200">
        <f>AJ79</f>
        <v>0</v>
      </c>
      <c r="AW79" s="200"/>
      <c r="AX79" s="200"/>
      <c r="AY79" s="200"/>
      <c r="AZ79" s="200"/>
      <c r="BA79" s="200"/>
      <c r="BB79" s="200"/>
      <c r="BC79" s="200"/>
      <c r="BD79" s="200"/>
      <c r="BE79" s="200"/>
      <c r="BF79" s="200"/>
      <c r="BG79" s="200"/>
      <c r="BH79" s="200"/>
      <c r="BI79" s="200"/>
      <c r="BJ79" s="200"/>
      <c r="BP79" s="174"/>
      <c r="BQ79" s="174"/>
      <c r="BR79" s="174"/>
      <c r="BS79" s="174"/>
      <c r="BT79" s="174"/>
      <c r="BU79" s="174"/>
      <c r="BV79" s="174"/>
      <c r="BW79" s="174"/>
    </row>
    <row r="80" spans="2:75" ht="5.0999999999999996" customHeight="1" x14ac:dyDescent="0.25">
      <c r="B80" s="20"/>
      <c r="C80" s="20"/>
      <c r="BJ80" s="26"/>
      <c r="BP80" s="174"/>
      <c r="BQ80" s="174"/>
      <c r="BR80" s="174"/>
      <c r="BS80" s="174"/>
      <c r="BT80" s="174"/>
      <c r="BU80" s="174"/>
      <c r="BV80" s="174"/>
      <c r="BW80" s="174"/>
    </row>
    <row r="81" spans="2:75" x14ac:dyDescent="0.25">
      <c r="B81" s="20"/>
      <c r="C81" s="201" t="s">
        <v>177</v>
      </c>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76" t="s">
        <v>5</v>
      </c>
      <c r="AJ81" s="322">
        <f>AU24</f>
        <v>0</v>
      </c>
      <c r="AK81" s="322"/>
      <c r="AL81" s="322"/>
      <c r="AM81" s="322"/>
      <c r="AN81" s="322"/>
      <c r="AO81" s="322"/>
      <c r="AP81" s="322"/>
      <c r="AQ81" s="322"/>
      <c r="AR81" s="322"/>
      <c r="AS81" s="322"/>
      <c r="AT81" s="199"/>
      <c r="AU81" s="199"/>
      <c r="AV81" s="200">
        <f>AJ81</f>
        <v>0</v>
      </c>
      <c r="AW81" s="200"/>
      <c r="AX81" s="200"/>
      <c r="AY81" s="200"/>
      <c r="AZ81" s="200"/>
      <c r="BA81" s="200"/>
      <c r="BB81" s="200"/>
      <c r="BC81" s="200"/>
      <c r="BD81" s="200"/>
      <c r="BE81" s="200"/>
      <c r="BF81" s="200"/>
      <c r="BG81" s="200"/>
      <c r="BH81" s="200"/>
      <c r="BI81" s="200"/>
      <c r="BJ81" s="200"/>
      <c r="BP81" s="175"/>
      <c r="BQ81" s="175"/>
      <c r="BR81" s="175"/>
      <c r="BS81" s="175"/>
      <c r="BT81" s="175"/>
      <c r="BU81" s="175"/>
      <c r="BV81" s="175"/>
      <c r="BW81" s="175"/>
    </row>
    <row r="82" spans="2:75" ht="5.0999999999999996" customHeight="1" x14ac:dyDescent="0.25">
      <c r="B82" s="20"/>
      <c r="C82" s="20"/>
      <c r="BJ82" s="26"/>
    </row>
    <row r="83" spans="2:75" x14ac:dyDescent="0.25">
      <c r="B83" s="20"/>
      <c r="C83" s="201" t="s">
        <v>178</v>
      </c>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76" t="s">
        <v>5</v>
      </c>
      <c r="AJ83" s="322">
        <f>AZ24</f>
        <v>0</v>
      </c>
      <c r="AK83" s="322"/>
      <c r="AL83" s="322"/>
      <c r="AM83" s="322"/>
      <c r="AN83" s="322"/>
      <c r="AO83" s="322"/>
      <c r="AP83" s="322"/>
      <c r="AQ83" s="322"/>
      <c r="AR83" s="322"/>
      <c r="AS83" s="322"/>
      <c r="AT83" s="199"/>
      <c r="AU83" s="199"/>
      <c r="AV83" s="200">
        <f>AJ83</f>
        <v>0</v>
      </c>
      <c r="AW83" s="200"/>
      <c r="AX83" s="200"/>
      <c r="AY83" s="200"/>
      <c r="AZ83" s="200"/>
      <c r="BA83" s="200"/>
      <c r="BB83" s="200"/>
      <c r="BC83" s="200"/>
      <c r="BD83" s="200"/>
      <c r="BE83" s="200"/>
      <c r="BF83" s="200"/>
      <c r="BG83" s="200"/>
      <c r="BH83" s="200"/>
      <c r="BI83" s="200"/>
      <c r="BJ83" s="200"/>
    </row>
    <row r="84" spans="2:75" ht="5.0999999999999996" customHeight="1" x14ac:dyDescent="0.25">
      <c r="B84" s="20"/>
      <c r="C84" s="20"/>
      <c r="BJ84" s="26"/>
    </row>
    <row r="85" spans="2:75" x14ac:dyDescent="0.25">
      <c r="B85" s="20"/>
      <c r="C85" s="201" t="s">
        <v>179</v>
      </c>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76" t="s">
        <v>5</v>
      </c>
      <c r="AJ85" s="213"/>
      <c r="AK85" s="158"/>
      <c r="AL85" s="158"/>
      <c r="AM85" s="158"/>
      <c r="AN85" s="158"/>
      <c r="AO85" s="158"/>
      <c r="AP85" s="158"/>
      <c r="AQ85" s="158"/>
      <c r="AR85" s="158"/>
      <c r="AS85" s="159"/>
      <c r="AT85" s="199"/>
      <c r="AU85" s="199"/>
      <c r="AV85" s="200">
        <f>AJ85</f>
        <v>0</v>
      </c>
      <c r="AW85" s="200"/>
      <c r="AX85" s="200"/>
      <c r="AY85" s="200"/>
      <c r="AZ85" s="200"/>
      <c r="BA85" s="200"/>
      <c r="BB85" s="200"/>
      <c r="BC85" s="200"/>
      <c r="BD85" s="200"/>
      <c r="BE85" s="200"/>
      <c r="BF85" s="200"/>
      <c r="BG85" s="200"/>
      <c r="BH85" s="200"/>
      <c r="BI85" s="200"/>
      <c r="BJ85" s="200"/>
    </row>
    <row r="86" spans="2:75" ht="5.0999999999999996" customHeight="1" x14ac:dyDescent="0.25">
      <c r="B86" s="20"/>
      <c r="C86" s="20"/>
      <c r="BJ86" s="26"/>
    </row>
    <row r="87" spans="2:75" x14ac:dyDescent="0.25">
      <c r="B87" s="20"/>
      <c r="C87" s="222" t="s">
        <v>180</v>
      </c>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5"/>
      <c r="AI87" s="76" t="s">
        <v>5</v>
      </c>
      <c r="AJ87" s="205">
        <f>AJ24</f>
        <v>0</v>
      </c>
      <c r="AK87" s="156"/>
      <c r="AL87" s="156"/>
      <c r="AM87" s="156"/>
      <c r="AN87" s="156"/>
      <c r="AO87" s="156"/>
      <c r="AP87" s="156"/>
      <c r="AQ87" s="156"/>
      <c r="AR87" s="156"/>
      <c r="AS87" s="157"/>
      <c r="AT87" s="199"/>
      <c r="AU87" s="199"/>
      <c r="AV87" s="193">
        <f>AJ87</f>
        <v>0</v>
      </c>
      <c r="AW87" s="194"/>
      <c r="AX87" s="194"/>
      <c r="AY87" s="194"/>
      <c r="AZ87" s="194"/>
      <c r="BA87" s="194"/>
      <c r="BB87" s="194"/>
      <c r="BC87" s="194"/>
      <c r="BD87" s="194"/>
      <c r="BE87" s="194"/>
      <c r="BF87" s="194"/>
      <c r="BG87" s="194"/>
      <c r="BH87" s="194"/>
      <c r="BI87" s="194"/>
      <c r="BJ87" s="195"/>
    </row>
    <row r="88" spans="2:75" ht="5.0999999999999996" customHeight="1" x14ac:dyDescent="0.25">
      <c r="B88" s="20"/>
      <c r="C88" s="20"/>
      <c r="BJ88" s="26"/>
    </row>
    <row r="89" spans="2:75" x14ac:dyDescent="0.25">
      <c r="B89" s="20"/>
      <c r="C89" s="222" t="s">
        <v>181</v>
      </c>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5"/>
      <c r="AI89" s="76" t="s">
        <v>5</v>
      </c>
      <c r="AJ89" s="213"/>
      <c r="AK89" s="158"/>
      <c r="AL89" s="158"/>
      <c r="AM89" s="158"/>
      <c r="AN89" s="158"/>
      <c r="AO89" s="158"/>
      <c r="AP89" s="158"/>
      <c r="AQ89" s="158"/>
      <c r="AR89" s="158"/>
      <c r="AS89" s="159"/>
      <c r="AT89" s="199"/>
      <c r="AU89" s="199"/>
      <c r="AV89" s="193">
        <f>AJ89</f>
        <v>0</v>
      </c>
      <c r="AW89" s="194"/>
      <c r="AX89" s="194"/>
      <c r="AY89" s="194"/>
      <c r="AZ89" s="194"/>
      <c r="BA89" s="194"/>
      <c r="BB89" s="194"/>
      <c r="BC89" s="194"/>
      <c r="BD89" s="194"/>
      <c r="BE89" s="194"/>
      <c r="BF89" s="194"/>
      <c r="BG89" s="194"/>
      <c r="BH89" s="194"/>
      <c r="BI89" s="194"/>
      <c r="BJ89" s="195"/>
    </row>
    <row r="90" spans="2:75" ht="5.0999999999999996" customHeight="1" x14ac:dyDescent="0.25">
      <c r="B90" s="20"/>
      <c r="C90" s="20"/>
      <c r="BJ90" s="26"/>
    </row>
    <row r="91" spans="2:75" x14ac:dyDescent="0.25">
      <c r="B91" s="20"/>
      <c r="C91" s="222" t="s">
        <v>182</v>
      </c>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5"/>
      <c r="AI91" s="76" t="s">
        <v>5</v>
      </c>
      <c r="AJ91" s="213"/>
      <c r="AK91" s="158"/>
      <c r="AL91" s="158"/>
      <c r="AM91" s="158"/>
      <c r="AN91" s="158"/>
      <c r="AO91" s="158"/>
      <c r="AP91" s="158"/>
      <c r="AQ91" s="158"/>
      <c r="AR91" s="158"/>
      <c r="AS91" s="159"/>
      <c r="AT91" s="199"/>
      <c r="AU91" s="199"/>
      <c r="AV91" s="193">
        <f>AJ91</f>
        <v>0</v>
      </c>
      <c r="AW91" s="194"/>
      <c r="AX91" s="194"/>
      <c r="AY91" s="194"/>
      <c r="AZ91" s="194"/>
      <c r="BA91" s="194"/>
      <c r="BB91" s="194"/>
      <c r="BC91" s="194"/>
      <c r="BD91" s="194"/>
      <c r="BE91" s="194"/>
      <c r="BF91" s="194"/>
      <c r="BG91" s="194"/>
      <c r="BH91" s="194"/>
      <c r="BI91" s="194"/>
      <c r="BJ91" s="195"/>
    </row>
    <row r="92" spans="2:75" ht="5.0999999999999996" customHeight="1" x14ac:dyDescent="0.25">
      <c r="B92" s="20"/>
      <c r="C92" s="20"/>
      <c r="BJ92" s="26"/>
    </row>
    <row r="93" spans="2:75" x14ac:dyDescent="0.25">
      <c r="B93" s="20"/>
      <c r="C93" s="222" t="s">
        <v>183</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5"/>
      <c r="AI93" s="76" t="s">
        <v>5</v>
      </c>
      <c r="AJ93" s="213"/>
      <c r="AK93" s="158"/>
      <c r="AL93" s="158"/>
      <c r="AM93" s="158"/>
      <c r="AN93" s="158"/>
      <c r="AO93" s="158"/>
      <c r="AP93" s="158"/>
      <c r="AQ93" s="158"/>
      <c r="AR93" s="158"/>
      <c r="AS93" s="159"/>
      <c r="AT93" s="199"/>
      <c r="AU93" s="199"/>
      <c r="AV93" s="193">
        <f>AJ93</f>
        <v>0</v>
      </c>
      <c r="AW93" s="194"/>
      <c r="AX93" s="194"/>
      <c r="AY93" s="194"/>
      <c r="AZ93" s="194"/>
      <c r="BA93" s="194"/>
      <c r="BB93" s="194"/>
      <c r="BC93" s="194"/>
      <c r="BD93" s="194"/>
      <c r="BE93" s="194"/>
      <c r="BF93" s="194"/>
      <c r="BG93" s="194"/>
      <c r="BH93" s="194"/>
      <c r="BI93" s="194"/>
      <c r="BJ93" s="195"/>
    </row>
    <row r="94" spans="2:75" ht="5.0999999999999996" customHeight="1" x14ac:dyDescent="0.25">
      <c r="B94" s="20"/>
      <c r="C94" s="20"/>
      <c r="BJ94" s="26"/>
    </row>
    <row r="95" spans="2:75" x14ac:dyDescent="0.25">
      <c r="B95" s="20"/>
      <c r="C95" s="310" t="s">
        <v>89</v>
      </c>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1"/>
      <c r="AI95" s="76" t="s">
        <v>5</v>
      </c>
      <c r="AJ95" s="213"/>
      <c r="AK95" s="158"/>
      <c r="AL95" s="158"/>
      <c r="AM95" s="158"/>
      <c r="AN95" s="158"/>
      <c r="AO95" s="158"/>
      <c r="AP95" s="158"/>
      <c r="AQ95" s="158"/>
      <c r="AR95" s="158"/>
      <c r="AS95" s="159"/>
      <c r="AT95" s="199"/>
      <c r="AU95" s="199"/>
      <c r="AV95" s="193">
        <f>AJ95</f>
        <v>0</v>
      </c>
      <c r="AW95" s="194"/>
      <c r="AX95" s="194"/>
      <c r="AY95" s="194"/>
      <c r="AZ95" s="194"/>
      <c r="BA95" s="194"/>
      <c r="BB95" s="194"/>
      <c r="BC95" s="194"/>
      <c r="BD95" s="194"/>
      <c r="BE95" s="194"/>
      <c r="BF95" s="194"/>
      <c r="BG95" s="194"/>
      <c r="BH95" s="194"/>
      <c r="BI95" s="194"/>
      <c r="BJ95" s="195"/>
    </row>
    <row r="96" spans="2:75" ht="5.0999999999999996" customHeight="1" x14ac:dyDescent="0.25">
      <c r="B96" s="20"/>
      <c r="C96" s="20"/>
      <c r="BJ96" s="26"/>
    </row>
    <row r="97" spans="2:74" x14ac:dyDescent="0.25">
      <c r="B97" s="20"/>
      <c r="C97" s="310" t="s">
        <v>89</v>
      </c>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1"/>
      <c r="AI97" s="76" t="s">
        <v>5</v>
      </c>
      <c r="AJ97" s="213"/>
      <c r="AK97" s="158"/>
      <c r="AL97" s="158"/>
      <c r="AM97" s="158"/>
      <c r="AN97" s="158"/>
      <c r="AO97" s="158"/>
      <c r="AP97" s="158"/>
      <c r="AQ97" s="158"/>
      <c r="AR97" s="158"/>
      <c r="AS97" s="159"/>
      <c r="AT97" s="199"/>
      <c r="AU97" s="199"/>
      <c r="AV97" s="193">
        <f>AJ97</f>
        <v>0</v>
      </c>
      <c r="AW97" s="194"/>
      <c r="AX97" s="194"/>
      <c r="AY97" s="194"/>
      <c r="AZ97" s="194"/>
      <c r="BA97" s="194"/>
      <c r="BB97" s="194"/>
      <c r="BC97" s="194"/>
      <c r="BD97" s="194"/>
      <c r="BE97" s="194"/>
      <c r="BF97" s="194"/>
      <c r="BG97" s="194"/>
      <c r="BH97" s="194"/>
      <c r="BI97" s="194"/>
      <c r="BJ97" s="195"/>
    </row>
    <row r="98" spans="2:74" ht="5.0999999999999996" customHeight="1" x14ac:dyDescent="0.25">
      <c r="B98" s="20"/>
      <c r="C98" s="20"/>
      <c r="BJ98" s="26"/>
    </row>
    <row r="99" spans="2:74" x14ac:dyDescent="0.25">
      <c r="B99" s="20"/>
      <c r="C99" s="222" t="s">
        <v>206</v>
      </c>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4"/>
      <c r="AE99" s="154"/>
      <c r="AF99" s="154"/>
      <c r="AG99" s="154"/>
      <c r="AH99" s="155"/>
      <c r="AI99" s="76" t="s">
        <v>5</v>
      </c>
      <c r="AJ99" s="205">
        <f>SUM(AJ77,AJ79,AJ81,AJ83,AJ85,AJ87,AJ89,AJ91,AJ93,AJ95,AJ97)</f>
        <v>0</v>
      </c>
      <c r="AK99" s="156"/>
      <c r="AL99" s="156"/>
      <c r="AM99" s="156"/>
      <c r="AN99" s="156"/>
      <c r="AO99" s="156"/>
      <c r="AP99" s="156"/>
      <c r="AQ99" s="156"/>
      <c r="AR99" s="156"/>
      <c r="AS99" s="157"/>
      <c r="AT99" s="199"/>
      <c r="AU99" s="199"/>
      <c r="AV99" s="193">
        <f>IF(AJ99&lt;=150000, AJ99,150000)</f>
        <v>0</v>
      </c>
      <c r="AW99" s="194"/>
      <c r="AX99" s="194"/>
      <c r="AY99" s="194"/>
      <c r="AZ99" s="194"/>
      <c r="BA99" s="194"/>
      <c r="BB99" s="194"/>
      <c r="BC99" s="194"/>
      <c r="BD99" s="194"/>
      <c r="BE99" s="194"/>
      <c r="BF99" s="194"/>
      <c r="BG99" s="194"/>
      <c r="BH99" s="194"/>
      <c r="BI99" s="194"/>
      <c r="BJ99" s="195"/>
      <c r="BL99" s="132" t="str">
        <f>IF(SUM(AJ99,AJ101,AJ103)&gt;150000,"The aggregate amount of deductions under section 123, 124 (5) and 124 (10) shall not exceed ₹ 150,000.","")</f>
        <v/>
      </c>
      <c r="BM99" s="132"/>
      <c r="BN99" s="132"/>
      <c r="BO99" s="132"/>
      <c r="BP99" s="132"/>
      <c r="BQ99" s="132"/>
      <c r="BR99" s="132"/>
      <c r="BS99" s="132"/>
      <c r="BT99" s="132"/>
      <c r="BU99" s="132"/>
      <c r="BV99" s="132"/>
    </row>
    <row r="100" spans="2:74" ht="5.0999999999999996" customHeight="1" x14ac:dyDescent="0.25">
      <c r="B100" s="20"/>
      <c r="C100" s="20"/>
      <c r="BJ100" s="26"/>
      <c r="BL100" s="132"/>
      <c r="BM100" s="132"/>
      <c r="BN100" s="132"/>
      <c r="BO100" s="132"/>
      <c r="BP100" s="132"/>
      <c r="BQ100" s="132"/>
      <c r="BR100" s="132"/>
      <c r="BS100" s="132"/>
      <c r="BT100" s="132"/>
      <c r="BU100" s="132"/>
      <c r="BV100" s="132"/>
    </row>
    <row r="101" spans="2:74" ht="25.95" customHeight="1" x14ac:dyDescent="0.25">
      <c r="B101" s="20"/>
      <c r="C101" s="214" t="s">
        <v>185</v>
      </c>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7"/>
      <c r="AI101" s="76" t="s">
        <v>5</v>
      </c>
      <c r="AJ101" s="213"/>
      <c r="AK101" s="158"/>
      <c r="AL101" s="158"/>
      <c r="AM101" s="158"/>
      <c r="AN101" s="158"/>
      <c r="AO101" s="158"/>
      <c r="AP101" s="158"/>
      <c r="AQ101" s="158"/>
      <c r="AR101" s="158"/>
      <c r="AS101" s="159"/>
      <c r="AT101" s="199"/>
      <c r="AU101" s="199"/>
      <c r="AV101" s="193">
        <f>IF(AV99&lt;150000,IF((AV99+AJ101)&lt;=150000,AJ101,(150000-AV99)),0)</f>
        <v>0</v>
      </c>
      <c r="AW101" s="194"/>
      <c r="AX101" s="194"/>
      <c r="AY101" s="194"/>
      <c r="AZ101" s="194"/>
      <c r="BA101" s="194"/>
      <c r="BB101" s="194"/>
      <c r="BC101" s="194"/>
      <c r="BD101" s="194"/>
      <c r="BE101" s="194"/>
      <c r="BF101" s="194"/>
      <c r="BG101" s="194"/>
      <c r="BH101" s="194"/>
      <c r="BI101" s="194"/>
      <c r="BJ101" s="195"/>
      <c r="BL101" s="132"/>
      <c r="BM101" s="132"/>
      <c r="BN101" s="132"/>
      <c r="BO101" s="132"/>
      <c r="BP101" s="132"/>
      <c r="BQ101" s="132"/>
      <c r="BR101" s="132"/>
      <c r="BS101" s="132"/>
      <c r="BT101" s="132"/>
      <c r="BU101" s="132"/>
      <c r="BV101" s="132"/>
    </row>
    <row r="102" spans="2:74" ht="5.0999999999999996" customHeight="1" x14ac:dyDescent="0.25">
      <c r="B102" s="20"/>
      <c r="BJ102" s="26"/>
    </row>
    <row r="103" spans="2:74" ht="25.95" customHeight="1" x14ac:dyDescent="0.25">
      <c r="B103" s="20"/>
      <c r="C103" s="305" t="s">
        <v>184</v>
      </c>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7"/>
      <c r="AI103" s="76" t="s">
        <v>5</v>
      </c>
      <c r="AJ103" s="322">
        <f>IF(AND('Basic Information'!AN10="NPS",SUM(K24,Q24)&lt;&gt;0),IF(ISNUMBER(BA30),IF(SUM(BA30,BA28)&gt;50000,SUM(BA30,BA28)-50000,0),IF(BA28&gt;50000,BA28-50000,0)),0)</f>
        <v>0</v>
      </c>
      <c r="AK103" s="322"/>
      <c r="AL103" s="322"/>
      <c r="AM103" s="322"/>
      <c r="AN103" s="322"/>
      <c r="AO103" s="322"/>
      <c r="AP103" s="322"/>
      <c r="AQ103" s="322"/>
      <c r="AR103" s="322"/>
      <c r="AS103" s="322"/>
      <c r="AT103" s="199"/>
      <c r="AU103" s="199"/>
      <c r="AV103" s="200">
        <f>IF(AND('Basic Information'!AN10="NPS",SUM(BA28,BA30)&lt;&gt;0,(AV99+AV101)&lt;150000),IF((AV99+AV101+AJ103)&lt;=150000,AJ103,(150000-AV99-AV101)),0)</f>
        <v>0</v>
      </c>
      <c r="AW103" s="200"/>
      <c r="AX103" s="200"/>
      <c r="AY103" s="200"/>
      <c r="AZ103" s="200"/>
      <c r="BA103" s="200"/>
      <c r="BB103" s="200"/>
      <c r="BC103" s="200"/>
      <c r="BD103" s="200"/>
      <c r="BE103" s="200"/>
      <c r="BF103" s="200"/>
      <c r="BG103" s="200"/>
      <c r="BH103" s="200"/>
      <c r="BI103" s="200"/>
      <c r="BJ103" s="200"/>
    </row>
    <row r="104" spans="2:74" ht="5.0999999999999996" customHeight="1" x14ac:dyDescent="0.25">
      <c r="B104" s="20"/>
      <c r="BJ104" s="26"/>
      <c r="BL104" s="132" t="str">
        <f>IF(AV105=50000,"The maximum allowed limit for deduction u/s 124 (3) &amp; 124 (4) is ₹ 50,000. ","")</f>
        <v/>
      </c>
      <c r="BM104" s="132"/>
      <c r="BN104" s="132"/>
      <c r="BO104" s="132"/>
      <c r="BP104" s="132"/>
      <c r="BQ104" s="132"/>
      <c r="BR104" s="132"/>
      <c r="BS104" s="132"/>
      <c r="BT104" s="132"/>
      <c r="BU104" s="132"/>
      <c r="BV104" s="132"/>
    </row>
    <row r="105" spans="2:74" ht="25.95" customHeight="1" x14ac:dyDescent="0.25">
      <c r="B105" s="20"/>
      <c r="C105" s="305" t="s">
        <v>208</v>
      </c>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2"/>
      <c r="AI105" s="76" t="s">
        <v>5</v>
      </c>
      <c r="AJ105" s="213"/>
      <c r="AK105" s="158"/>
      <c r="AL105" s="158"/>
      <c r="AM105" s="158"/>
      <c r="AN105" s="158"/>
      <c r="AO105" s="158"/>
      <c r="AP105" s="158"/>
      <c r="AQ105" s="158"/>
      <c r="AR105" s="158"/>
      <c r="AS105" s="159"/>
      <c r="AT105" s="206"/>
      <c r="AU105" s="197"/>
      <c r="AV105" s="193">
        <f>IF(OR('Basic Information'!AN10="Statutory",'Basic Information'!AN10=""),IF(AJ105&gt;=50000,50000,AJ105),IF(AND('Basic Information'!AN10="NPS",SUM(K24,Q24)&lt;&gt;0),IF(ISNUMBER(BA30),IF(SUM(BA28,BA30,AJ105)&gt;=50000,50000,SUM(BA28,BA30,AJ105)),IF(SUM(BA28,AJ105)&gt;=50000,50000,SUM(BA28,AJ105))),0))</f>
        <v>0</v>
      </c>
      <c r="AW105" s="194"/>
      <c r="AX105" s="194"/>
      <c r="AY105" s="194"/>
      <c r="AZ105" s="194"/>
      <c r="BA105" s="194"/>
      <c r="BB105" s="194"/>
      <c r="BC105" s="194"/>
      <c r="BD105" s="194"/>
      <c r="BE105" s="194"/>
      <c r="BF105" s="194"/>
      <c r="BG105" s="194"/>
      <c r="BH105" s="194"/>
      <c r="BI105" s="194"/>
      <c r="BJ105" s="195"/>
      <c r="BL105" s="132"/>
      <c r="BM105" s="132"/>
      <c r="BN105" s="132"/>
      <c r="BO105" s="132"/>
      <c r="BP105" s="132"/>
      <c r="BQ105" s="132"/>
      <c r="BR105" s="132"/>
      <c r="BS105" s="132"/>
      <c r="BT105" s="132"/>
      <c r="BU105" s="132"/>
      <c r="BV105" s="132"/>
    </row>
    <row r="106" spans="2:74" ht="5.0999999999999996" customHeight="1" x14ac:dyDescent="0.25">
      <c r="B106" s="20"/>
      <c r="BJ106" s="26"/>
      <c r="BL106" s="132"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32"/>
      <c r="BN106" s="132"/>
      <c r="BO106" s="132"/>
      <c r="BP106" s="132"/>
      <c r="BQ106" s="132"/>
      <c r="BR106" s="132"/>
      <c r="BS106" s="132"/>
      <c r="BT106" s="132"/>
      <c r="BU106" s="132"/>
      <c r="BV106" s="132"/>
    </row>
    <row r="107" spans="2:74" ht="25.95" customHeight="1" x14ac:dyDescent="0.25">
      <c r="B107" s="20"/>
      <c r="C107" s="305" t="s">
        <v>174</v>
      </c>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7"/>
      <c r="AI107" s="76" t="s">
        <v>5</v>
      </c>
      <c r="AJ107" s="322">
        <f>IF('Basic Information'!AN10="NPS",IF(ISNUMBER(BA30),SUM(BA28,BA30),BA28),0)</f>
        <v>0</v>
      </c>
      <c r="AK107" s="322"/>
      <c r="AL107" s="322"/>
      <c r="AM107" s="322"/>
      <c r="AN107" s="322"/>
      <c r="AO107" s="322"/>
      <c r="AP107" s="322"/>
      <c r="AQ107" s="322"/>
      <c r="AR107" s="322"/>
      <c r="AS107" s="322"/>
      <c r="AT107" s="199"/>
      <c r="AU107" s="199"/>
      <c r="AV107" s="200">
        <f>IF(AJ107&lt;&gt;0,BA28,0)</f>
        <v>0</v>
      </c>
      <c r="AW107" s="200"/>
      <c r="AX107" s="200"/>
      <c r="AY107" s="200"/>
      <c r="AZ107" s="200"/>
      <c r="BA107" s="200"/>
      <c r="BB107" s="200"/>
      <c r="BC107" s="200"/>
      <c r="BD107" s="200"/>
      <c r="BE107" s="200"/>
      <c r="BF107" s="200"/>
      <c r="BG107" s="200"/>
      <c r="BH107" s="200"/>
      <c r="BI107" s="200"/>
      <c r="BJ107" s="200"/>
      <c r="BL107" s="132"/>
      <c r="BM107" s="132"/>
      <c r="BN107" s="132"/>
      <c r="BO107" s="132"/>
      <c r="BP107" s="132"/>
      <c r="BQ107" s="132"/>
      <c r="BR107" s="132"/>
      <c r="BS107" s="132"/>
      <c r="BT107" s="132"/>
      <c r="BU107" s="132"/>
      <c r="BV107" s="132"/>
    </row>
    <row r="108" spans="2:74" ht="5.0999999999999996" customHeight="1" x14ac:dyDescent="0.25">
      <c r="B108" s="20"/>
      <c r="BJ108" s="26"/>
      <c r="BL108" s="132"/>
      <c r="BM108" s="132"/>
      <c r="BN108" s="132"/>
      <c r="BO108" s="132"/>
      <c r="BP108" s="132"/>
      <c r="BQ108" s="132"/>
      <c r="BR108" s="132"/>
      <c r="BS108" s="132"/>
      <c r="BT108" s="132"/>
      <c r="BU108" s="132"/>
      <c r="BV108" s="132"/>
    </row>
    <row r="109" spans="2:74" ht="15" customHeight="1" x14ac:dyDescent="0.25">
      <c r="B109" s="20"/>
      <c r="C109" s="222" t="s">
        <v>186</v>
      </c>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5"/>
    </row>
    <row r="110" spans="2:74" ht="5.0999999999999996" customHeight="1" x14ac:dyDescent="0.25">
      <c r="B110" s="20"/>
      <c r="C110" s="20"/>
      <c r="BJ110" s="26"/>
    </row>
    <row r="111" spans="2:74" ht="16.5" customHeight="1" x14ac:dyDescent="0.25">
      <c r="B111" s="20"/>
      <c r="C111" s="20"/>
      <c r="D111" s="192" t="s">
        <v>90</v>
      </c>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c r="AI111" s="203"/>
      <c r="AJ111" s="203"/>
      <c r="AK111" s="203"/>
      <c r="AL111" s="203"/>
      <c r="AM111" s="203"/>
      <c r="AN111" s="203"/>
      <c r="AO111" s="203"/>
      <c r="AP111" s="203"/>
      <c r="AQ111" s="203"/>
      <c r="AR111" s="203"/>
      <c r="AS111" s="203"/>
      <c r="AT111" s="203"/>
      <c r="AU111" s="203"/>
      <c r="AV111" s="203"/>
      <c r="AW111" s="203"/>
      <c r="AX111" s="203"/>
      <c r="AY111" s="203"/>
      <c r="AZ111" s="203"/>
      <c r="BA111" s="203"/>
      <c r="BB111" s="203"/>
      <c r="BC111" s="203"/>
      <c r="BD111" s="203"/>
      <c r="BE111" s="203"/>
      <c r="BF111" s="203"/>
      <c r="BG111" s="203"/>
      <c r="BH111" s="203"/>
      <c r="BI111" s="203"/>
      <c r="BJ111" s="204"/>
    </row>
    <row r="112" spans="2:74" ht="5.0999999999999996" customHeight="1" x14ac:dyDescent="0.25">
      <c r="B112" s="20"/>
      <c r="C112" s="20"/>
      <c r="D112" s="20"/>
      <c r="BJ112" s="26"/>
    </row>
    <row r="113" spans="2:77" ht="14.4" x14ac:dyDescent="0.25">
      <c r="B113" s="20"/>
      <c r="C113" s="20"/>
      <c r="D113" s="20"/>
      <c r="E113" s="201" t="s">
        <v>94</v>
      </c>
      <c r="F113" s="201"/>
      <c r="G113" s="201"/>
      <c r="H113" s="201"/>
      <c r="I113" s="201"/>
      <c r="J113" s="201"/>
      <c r="K113" s="201"/>
      <c r="L113" s="201"/>
      <c r="M113" s="201"/>
      <c r="N113" s="201"/>
      <c r="O113" s="201"/>
      <c r="P113" s="201"/>
      <c r="Q113" s="201" t="s">
        <v>93</v>
      </c>
      <c r="R113" s="201"/>
      <c r="S113" s="201"/>
      <c r="T113" s="201"/>
      <c r="U113" s="201"/>
      <c r="V113" s="201"/>
      <c r="W113" s="201"/>
      <c r="X113" s="201"/>
      <c r="Y113" s="201"/>
      <c r="Z113" s="223" t="s">
        <v>43</v>
      </c>
      <c r="AA113" s="223"/>
      <c r="AB113" s="223"/>
      <c r="AC113" s="223"/>
      <c r="AD113" s="223"/>
      <c r="AE113" s="223"/>
      <c r="AF113" s="223"/>
      <c r="AG113" s="223"/>
      <c r="AH113" s="224"/>
      <c r="AI113" s="76" t="s">
        <v>5</v>
      </c>
      <c r="AJ113" s="333"/>
      <c r="AK113" s="333"/>
      <c r="AL113" s="333"/>
      <c r="AM113" s="333"/>
      <c r="AN113" s="333"/>
      <c r="AO113" s="333"/>
      <c r="AP113" s="333"/>
      <c r="AQ113" s="333"/>
      <c r="AR113" s="333"/>
      <c r="AS113" s="333"/>
      <c r="AT113" s="199"/>
      <c r="AU113" s="199"/>
      <c r="AV113" s="200">
        <f>IF(Z113="Other than Cash",IF((AJ113+AJ115+AP24)&lt;=25000,(AJ113+AP24),IF((AJ113+AP24)&lt;25000,(AJ113+AP24),25000)),IF(AP24&lt;&gt;0,AP24,0))</f>
        <v>0</v>
      </c>
      <c r="AW113" s="200"/>
      <c r="AX113" s="200"/>
      <c r="AY113" s="200"/>
      <c r="AZ113" s="200"/>
      <c r="BA113" s="200"/>
      <c r="BB113" s="200"/>
      <c r="BC113" s="200"/>
      <c r="BD113" s="200"/>
      <c r="BE113" s="200"/>
      <c r="BF113" s="200"/>
      <c r="BG113" s="200"/>
      <c r="BH113" s="200"/>
      <c r="BI113" s="200"/>
      <c r="BJ113" s="200"/>
      <c r="BP113" s="139" t="str">
        <f>IF(AND(AJ113&lt;&gt;0, OR(ISBLANK(Z113),Z113="SELECT")),"Please select the payment mode. ",IF(AND(AJ113&lt;&gt;0, Z113="cash"),"Health Insurance premium paid in cash is not allowed for deduction u/s 126. ",IF(AP24&lt;&gt;0,"MediSep Premium is included here.","")))</f>
        <v/>
      </c>
      <c r="BQ113" s="140"/>
      <c r="BR113" s="140"/>
      <c r="BS113" s="140"/>
      <c r="BT113" s="140"/>
      <c r="BU113" s="140"/>
      <c r="BV113" s="140"/>
      <c r="BW113" s="140"/>
    </row>
    <row r="114" spans="2:77" ht="5.0999999999999996" customHeight="1" x14ac:dyDescent="0.25">
      <c r="B114" s="20"/>
      <c r="C114" s="20"/>
      <c r="D114" s="20"/>
      <c r="BJ114" s="26"/>
      <c r="BP114" s="143"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144"/>
      <c r="BR114" s="144"/>
      <c r="BS114" s="144"/>
      <c r="BT114" s="144"/>
      <c r="BU114" s="144"/>
      <c r="BV114" s="144"/>
      <c r="BW114" s="144"/>
      <c r="BX114" s="138"/>
    </row>
    <row r="115" spans="2:77" x14ac:dyDescent="0.25">
      <c r="B115" s="20"/>
      <c r="C115" s="20"/>
      <c r="D115" s="20"/>
      <c r="E115" s="222" t="s">
        <v>117</v>
      </c>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5"/>
      <c r="AI115" s="76" t="s">
        <v>5</v>
      </c>
      <c r="AJ115" s="213"/>
      <c r="AK115" s="158"/>
      <c r="AL115" s="158"/>
      <c r="AM115" s="158"/>
      <c r="AN115" s="158"/>
      <c r="AO115" s="158"/>
      <c r="AP115" s="158"/>
      <c r="AQ115" s="158"/>
      <c r="AR115" s="158"/>
      <c r="AS115" s="159"/>
      <c r="AT115" s="197"/>
      <c r="AU115" s="199"/>
      <c r="AV115" s="193">
        <f>IF(AJ115&lt;&gt;0,IF(AJ115&lt;=5000,IF((AJ115+AV113)&lt;=25000,AJ115,(25000-AV113)),IF((AJ115+AV113)&gt;25000,IF((25000-AV113)&lt;=5000,(25000-AV113),5000),5000)),0)</f>
        <v>0</v>
      </c>
      <c r="AW115" s="194"/>
      <c r="AX115" s="194"/>
      <c r="AY115" s="194"/>
      <c r="AZ115" s="194"/>
      <c r="BA115" s="194"/>
      <c r="BB115" s="194"/>
      <c r="BC115" s="194"/>
      <c r="BD115" s="194"/>
      <c r="BE115" s="194"/>
      <c r="BF115" s="194"/>
      <c r="BG115" s="194"/>
      <c r="BH115" s="194"/>
      <c r="BI115" s="194"/>
      <c r="BJ115" s="195"/>
      <c r="BP115" s="144"/>
      <c r="BQ115" s="144"/>
      <c r="BR115" s="144"/>
      <c r="BS115" s="144"/>
      <c r="BT115" s="144"/>
      <c r="BU115" s="144"/>
      <c r="BV115" s="144"/>
      <c r="BW115" s="144"/>
      <c r="BX115" s="138"/>
    </row>
    <row r="116" spans="2:77" ht="5.0999999999999996" customHeight="1" x14ac:dyDescent="0.25">
      <c r="B116" s="20"/>
      <c r="C116" s="20"/>
      <c r="D116" s="20"/>
      <c r="BJ116" s="26"/>
      <c r="BP116" s="144"/>
      <c r="BQ116" s="144"/>
      <c r="BR116" s="144"/>
      <c r="BS116" s="144"/>
      <c r="BT116" s="144"/>
      <c r="BU116" s="144"/>
      <c r="BV116" s="144"/>
      <c r="BW116" s="144"/>
      <c r="BX116" s="138"/>
    </row>
    <row r="117" spans="2:77" x14ac:dyDescent="0.25">
      <c r="B117" s="20"/>
      <c r="C117" s="20"/>
      <c r="D117" s="192" t="s">
        <v>91</v>
      </c>
      <c r="E117" s="203"/>
      <c r="F117" s="203"/>
      <c r="G117" s="203"/>
      <c r="H117" s="203"/>
      <c r="I117" s="203"/>
      <c r="J117" s="203"/>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c r="BA117" s="154"/>
      <c r="BB117" s="154"/>
      <c r="BC117" s="154"/>
      <c r="BD117" s="154"/>
      <c r="BE117" s="154"/>
      <c r="BF117" s="154"/>
      <c r="BG117" s="154"/>
      <c r="BH117" s="154"/>
      <c r="BI117" s="154"/>
      <c r="BJ117" s="155"/>
    </row>
    <row r="118" spans="2:77" ht="5.0999999999999996" customHeight="1" x14ac:dyDescent="0.25">
      <c r="B118" s="20"/>
      <c r="C118" s="20"/>
      <c r="D118" s="20"/>
      <c r="BJ118" s="26"/>
    </row>
    <row r="119" spans="2:77" s="45" customFormat="1" ht="15" customHeight="1" x14ac:dyDescent="0.3">
      <c r="B119" s="24"/>
      <c r="C119" s="24"/>
      <c r="D119" s="72"/>
      <c r="E119" s="214" t="s">
        <v>138</v>
      </c>
      <c r="F119" s="215"/>
      <c r="G119" s="215"/>
      <c r="H119" s="215"/>
      <c r="I119" s="215"/>
      <c r="J119" s="215"/>
      <c r="K119" s="215"/>
      <c r="L119" s="215"/>
      <c r="M119" s="215"/>
      <c r="N119" s="215"/>
      <c r="O119" s="215"/>
      <c r="P119" s="215"/>
      <c r="Q119" s="215"/>
      <c r="R119" s="215"/>
      <c r="S119" s="215"/>
      <c r="T119" s="215"/>
      <c r="U119" s="215"/>
      <c r="V119" s="215"/>
      <c r="W119" s="215"/>
      <c r="X119" s="215"/>
      <c r="Y119" s="215"/>
      <c r="Z119" s="215"/>
      <c r="AA119" s="215"/>
      <c r="AB119" s="217"/>
      <c r="AC119" s="291" t="s">
        <v>43</v>
      </c>
      <c r="AD119" s="292"/>
      <c r="AE119" s="292"/>
      <c r="AF119" s="292"/>
      <c r="AG119" s="293"/>
      <c r="AH119" s="10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6"/>
      <c r="BP119" s="75"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222" t="s">
        <v>94</v>
      </c>
      <c r="F121" s="154"/>
      <c r="G121" s="154"/>
      <c r="H121" s="154"/>
      <c r="I121" s="154"/>
      <c r="J121" s="154"/>
      <c r="K121" s="154"/>
      <c r="L121" s="154"/>
      <c r="M121" s="154"/>
      <c r="N121" s="154"/>
      <c r="O121" s="154"/>
      <c r="P121" s="155"/>
      <c r="Q121" s="222" t="s">
        <v>93</v>
      </c>
      <c r="R121" s="154"/>
      <c r="S121" s="154"/>
      <c r="T121" s="154"/>
      <c r="U121" s="154"/>
      <c r="V121" s="154"/>
      <c r="W121" s="154"/>
      <c r="X121" s="154"/>
      <c r="Y121" s="155"/>
      <c r="Z121" s="227" t="s">
        <v>43</v>
      </c>
      <c r="AA121" s="228"/>
      <c r="AB121" s="228"/>
      <c r="AC121" s="228"/>
      <c r="AD121" s="228"/>
      <c r="AE121" s="228"/>
      <c r="AF121" s="228"/>
      <c r="AG121" s="228"/>
      <c r="AH121" s="229"/>
      <c r="AI121" s="78" t="s">
        <v>5</v>
      </c>
      <c r="AJ121" s="213"/>
      <c r="AK121" s="158"/>
      <c r="AL121" s="158"/>
      <c r="AM121" s="158"/>
      <c r="AN121" s="158"/>
      <c r="AO121" s="158"/>
      <c r="AP121" s="158"/>
      <c r="AQ121" s="158"/>
      <c r="AR121" s="158"/>
      <c r="AS121" s="159"/>
      <c r="AT121" s="199"/>
      <c r="AU121" s="199"/>
      <c r="AV121" s="193">
        <f>IF(AC119="Yes",IF(Z121="Other than Cash",IF((AJ121+AJ123)&lt;=50000,AJ121,IF(AJ121&lt;50000,AJ121,50000)),0),IF(AND(AC119="No",Z121="Other than Cash"),IF((AJ121+AJ123)&lt;=25000,AJ121,IF(AJ121&lt;25000,AJ121,25000)),0))</f>
        <v>0</v>
      </c>
      <c r="AW121" s="194"/>
      <c r="AX121" s="194"/>
      <c r="AY121" s="194"/>
      <c r="AZ121" s="194"/>
      <c r="BA121" s="194"/>
      <c r="BB121" s="194"/>
      <c r="BC121" s="194"/>
      <c r="BD121" s="194"/>
      <c r="BE121" s="194"/>
      <c r="BF121" s="194"/>
      <c r="BG121" s="194"/>
      <c r="BH121" s="194"/>
      <c r="BI121" s="194"/>
      <c r="BJ121" s="195"/>
      <c r="BP121" s="34"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43"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144"/>
      <c r="BR122" s="144"/>
      <c r="BS122" s="144"/>
      <c r="BT122" s="144"/>
      <c r="BU122" s="144"/>
      <c r="BV122" s="144"/>
      <c r="BW122" s="144"/>
      <c r="BX122" s="144"/>
    </row>
    <row r="123" spans="2:77" x14ac:dyDescent="0.25">
      <c r="B123" s="20"/>
      <c r="C123" s="20"/>
      <c r="D123" s="20"/>
      <c r="E123" s="222" t="s">
        <v>117</v>
      </c>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5"/>
      <c r="AI123" s="76" t="s">
        <v>5</v>
      </c>
      <c r="AJ123" s="213"/>
      <c r="AK123" s="158"/>
      <c r="AL123" s="158"/>
      <c r="AM123" s="158"/>
      <c r="AN123" s="158"/>
      <c r="AO123" s="158"/>
      <c r="AP123" s="158"/>
      <c r="AQ123" s="158"/>
      <c r="AR123" s="158"/>
      <c r="AS123" s="159"/>
      <c r="AT123" s="199"/>
      <c r="AU123" s="199"/>
      <c r="AV123" s="193">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194"/>
      <c r="AX123" s="194"/>
      <c r="AY123" s="194"/>
      <c r="AZ123" s="194"/>
      <c r="BA123" s="194"/>
      <c r="BB123" s="194"/>
      <c r="BC123" s="194"/>
      <c r="BD123" s="194"/>
      <c r="BE123" s="194"/>
      <c r="BF123" s="194"/>
      <c r="BG123" s="194"/>
      <c r="BH123" s="194"/>
      <c r="BI123" s="194"/>
      <c r="BJ123" s="195"/>
      <c r="BP123" s="144"/>
      <c r="BQ123" s="144"/>
      <c r="BR123" s="144"/>
      <c r="BS123" s="144"/>
      <c r="BT123" s="144"/>
      <c r="BU123" s="144"/>
      <c r="BV123" s="144"/>
      <c r="BW123" s="144"/>
      <c r="BX123" s="144"/>
    </row>
    <row r="124" spans="2:77" ht="5.0999999999999996" customHeight="1" x14ac:dyDescent="0.25">
      <c r="B124" s="20"/>
      <c r="C124" s="20"/>
      <c r="D124" s="20"/>
      <c r="BJ124" s="26"/>
      <c r="BP124" s="144"/>
      <c r="BQ124" s="144"/>
      <c r="BR124" s="144"/>
      <c r="BS124" s="144"/>
      <c r="BT124" s="144"/>
      <c r="BU124" s="144"/>
      <c r="BV124" s="144"/>
      <c r="BW124" s="144"/>
      <c r="BX124" s="144"/>
    </row>
    <row r="125" spans="2:77" x14ac:dyDescent="0.25">
      <c r="B125" s="20"/>
      <c r="C125" s="20"/>
      <c r="D125" s="22"/>
      <c r="E125" s="222" t="s">
        <v>95</v>
      </c>
      <c r="F125" s="154"/>
      <c r="G125" s="154"/>
      <c r="H125" s="154"/>
      <c r="I125" s="154"/>
      <c r="J125" s="154"/>
      <c r="K125" s="154"/>
      <c r="L125" s="154"/>
      <c r="M125" s="154"/>
      <c r="N125" s="154"/>
      <c r="O125" s="154"/>
      <c r="P125" s="155"/>
      <c r="Q125" s="222" t="s">
        <v>93</v>
      </c>
      <c r="R125" s="154"/>
      <c r="S125" s="154"/>
      <c r="T125" s="154"/>
      <c r="U125" s="154"/>
      <c r="V125" s="154"/>
      <c r="W125" s="154"/>
      <c r="X125" s="154"/>
      <c r="Y125" s="155"/>
      <c r="Z125" s="227" t="s">
        <v>43</v>
      </c>
      <c r="AA125" s="228"/>
      <c r="AB125" s="228"/>
      <c r="AC125" s="228"/>
      <c r="AD125" s="228"/>
      <c r="AE125" s="228"/>
      <c r="AF125" s="228"/>
      <c r="AG125" s="228"/>
      <c r="AH125" s="229"/>
      <c r="AI125" s="76" t="s">
        <v>5</v>
      </c>
      <c r="AJ125" s="213"/>
      <c r="AK125" s="158"/>
      <c r="AL125" s="158"/>
      <c r="AM125" s="158"/>
      <c r="AN125" s="158"/>
      <c r="AO125" s="158"/>
      <c r="AP125" s="158"/>
      <c r="AQ125" s="158"/>
      <c r="AR125" s="158"/>
      <c r="AS125" s="159"/>
      <c r="AT125" s="199"/>
      <c r="AU125" s="199"/>
      <c r="AV125" s="193">
        <f>IF(AND(AC119="Yes",Z125="Other than Cash"),IF(AV121=0,IF(AJ125&lt;=50000,AJ125,50000),0),0)</f>
        <v>0</v>
      </c>
      <c r="AW125" s="194"/>
      <c r="AX125" s="194"/>
      <c r="AY125" s="194"/>
      <c r="AZ125" s="194"/>
      <c r="BA125" s="194"/>
      <c r="BB125" s="194"/>
      <c r="BC125" s="194"/>
      <c r="BD125" s="194"/>
      <c r="BE125" s="194"/>
      <c r="BF125" s="194"/>
      <c r="BG125" s="194"/>
      <c r="BH125" s="194"/>
      <c r="BI125" s="194"/>
      <c r="BJ125" s="195"/>
      <c r="BP125" s="132"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138"/>
      <c r="BR125" s="138"/>
      <c r="BS125" s="138"/>
      <c r="BT125" s="138"/>
      <c r="BU125" s="138"/>
      <c r="BV125" s="138"/>
      <c r="BW125" s="138"/>
      <c r="BX125" s="138"/>
      <c r="BY125" s="138"/>
    </row>
    <row r="126" spans="2:77" ht="5.0999999999999996" customHeight="1" x14ac:dyDescent="0.25">
      <c r="B126" s="20"/>
      <c r="C126" s="20"/>
      <c r="BJ126" s="26"/>
      <c r="BP126" s="175"/>
      <c r="BQ126" s="175"/>
      <c r="BR126" s="175"/>
      <c r="BS126" s="175"/>
      <c r="BT126" s="175"/>
      <c r="BU126" s="175"/>
      <c r="BV126" s="175"/>
      <c r="BW126" s="175"/>
      <c r="BX126" s="175"/>
      <c r="BY126" s="175"/>
    </row>
    <row r="127" spans="2:77" x14ac:dyDescent="0.25">
      <c r="B127" s="20"/>
      <c r="C127" s="222" t="s">
        <v>187</v>
      </c>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5"/>
      <c r="AI127" s="76" t="s">
        <v>5</v>
      </c>
      <c r="AJ127" s="205">
        <f>SUM(AP24,AJ113,AJ115,AJ121,AJ123,AJ125)</f>
        <v>0</v>
      </c>
      <c r="AK127" s="156"/>
      <c r="AL127" s="156"/>
      <c r="AM127" s="156"/>
      <c r="AN127" s="156"/>
      <c r="AO127" s="156"/>
      <c r="AP127" s="156"/>
      <c r="AQ127" s="156"/>
      <c r="AR127" s="156"/>
      <c r="AS127" s="157"/>
      <c r="AT127" s="199"/>
      <c r="AU127" s="199"/>
      <c r="AV127" s="193">
        <f>SUM(AV113,AV115,AV121,AV123,AV125)</f>
        <v>0</v>
      </c>
      <c r="AW127" s="194"/>
      <c r="AX127" s="194"/>
      <c r="AY127" s="194"/>
      <c r="AZ127" s="194"/>
      <c r="BA127" s="194"/>
      <c r="BB127" s="194"/>
      <c r="BC127" s="194"/>
      <c r="BD127" s="194"/>
      <c r="BE127" s="194"/>
      <c r="BF127" s="194"/>
      <c r="BG127" s="194"/>
      <c r="BH127" s="194"/>
      <c r="BI127" s="194"/>
      <c r="BJ127" s="195"/>
      <c r="BP127" s="175"/>
      <c r="BQ127" s="175"/>
      <c r="BR127" s="175"/>
      <c r="BS127" s="175"/>
      <c r="BT127" s="175"/>
      <c r="BU127" s="175"/>
      <c r="BV127" s="175"/>
      <c r="BW127" s="175"/>
      <c r="BX127" s="175"/>
      <c r="BY127" s="175"/>
    </row>
    <row r="128" spans="2:77" ht="5.0999999999999996" customHeight="1" x14ac:dyDescent="0.25">
      <c r="B128" s="20"/>
      <c r="BJ128" s="26"/>
      <c r="BP128" s="132"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74"/>
      <c r="BR128" s="174"/>
      <c r="BS128" s="174"/>
      <c r="BT128" s="174"/>
      <c r="BU128" s="174"/>
      <c r="BV128" s="174"/>
      <c r="BW128" s="174"/>
    </row>
    <row r="129" spans="2:75" ht="25.5" customHeight="1" x14ac:dyDescent="0.25">
      <c r="B129" s="20"/>
      <c r="C129" s="318" t="s">
        <v>188</v>
      </c>
      <c r="D129" s="319"/>
      <c r="E129" s="319"/>
      <c r="F129" s="319"/>
      <c r="G129" s="319"/>
      <c r="H129" s="319"/>
      <c r="I129" s="319"/>
      <c r="J129" s="319"/>
      <c r="K129" s="319"/>
      <c r="L129" s="319"/>
      <c r="M129" s="319"/>
      <c r="N129" s="319"/>
      <c r="O129" s="319"/>
      <c r="P129" s="319"/>
      <c r="Q129" s="319"/>
      <c r="R129" s="319"/>
      <c r="S129" s="319"/>
      <c r="T129" s="319"/>
      <c r="U129" s="319"/>
      <c r="V129" s="319"/>
      <c r="W129" s="319"/>
      <c r="X129" s="320"/>
      <c r="Y129" s="314" t="s">
        <v>43</v>
      </c>
      <c r="Z129" s="315"/>
      <c r="AA129" s="315"/>
      <c r="AB129" s="315"/>
      <c r="AC129" s="315"/>
      <c r="AD129" s="315"/>
      <c r="AE129" s="315"/>
      <c r="AF129" s="316"/>
      <c r="AG129" s="316"/>
      <c r="AH129" s="317"/>
      <c r="AI129" s="76" t="s">
        <v>5</v>
      </c>
      <c r="AJ129" s="213"/>
      <c r="AK129" s="158"/>
      <c r="AL129" s="158"/>
      <c r="AM129" s="158"/>
      <c r="AN129" s="158"/>
      <c r="AO129" s="158"/>
      <c r="AP129" s="158"/>
      <c r="AQ129" s="158"/>
      <c r="AR129" s="158"/>
      <c r="AS129" s="159"/>
      <c r="AT129" s="199"/>
      <c r="AU129" s="199"/>
      <c r="AV129" s="193">
        <f>IF(AND(AJ129&lt;&gt;0, Y129="Dependent Person with Severe Disability"), IF(AJ129&lt;=125000,AJ129,125000), IF(AND(AJ129&lt;&gt;0, Y129="Dependent Person with Disability"), IF(AJ129&lt;=75000,AJ129,75000),0))</f>
        <v>0</v>
      </c>
      <c r="AW129" s="194"/>
      <c r="AX129" s="194"/>
      <c r="AY129" s="194"/>
      <c r="AZ129" s="194"/>
      <c r="BA129" s="194"/>
      <c r="BB129" s="194"/>
      <c r="BC129" s="194"/>
      <c r="BD129" s="194"/>
      <c r="BE129" s="194"/>
      <c r="BF129" s="194"/>
      <c r="BG129" s="194"/>
      <c r="BH129" s="194"/>
      <c r="BI129" s="194"/>
      <c r="BJ129" s="195"/>
      <c r="BP129" s="174"/>
      <c r="BQ129" s="174"/>
      <c r="BR129" s="174"/>
      <c r="BS129" s="174"/>
      <c r="BT129" s="174"/>
      <c r="BU129" s="174"/>
      <c r="BV129" s="174"/>
      <c r="BW129" s="174"/>
    </row>
    <row r="130" spans="2:75" ht="5.0999999999999996" customHeight="1" x14ac:dyDescent="0.25">
      <c r="B130" s="20"/>
      <c r="BJ130" s="26"/>
      <c r="BP130" s="132"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32"/>
      <c r="BR130" s="132"/>
      <c r="BS130" s="132"/>
      <c r="BT130" s="132"/>
      <c r="BU130" s="132"/>
      <c r="BV130" s="132"/>
      <c r="BW130" s="132"/>
    </row>
    <row r="131" spans="2:75" ht="23.25" customHeight="1" x14ac:dyDescent="0.25">
      <c r="B131" s="20"/>
      <c r="C131" s="285" t="s">
        <v>189</v>
      </c>
      <c r="D131" s="286"/>
      <c r="E131" s="286"/>
      <c r="F131" s="286"/>
      <c r="G131" s="286"/>
      <c r="H131" s="286"/>
      <c r="I131" s="286"/>
      <c r="J131" s="286"/>
      <c r="K131" s="286"/>
      <c r="L131" s="286"/>
      <c r="M131" s="286"/>
      <c r="N131" s="286"/>
      <c r="O131" s="286"/>
      <c r="P131" s="286"/>
      <c r="Q131" s="286"/>
      <c r="R131" s="286"/>
      <c r="S131" s="286"/>
      <c r="T131" s="286"/>
      <c r="U131" s="286"/>
      <c r="V131" s="286"/>
      <c r="W131" s="286"/>
      <c r="X131" s="330"/>
      <c r="Y131" s="314" t="s">
        <v>43</v>
      </c>
      <c r="Z131" s="292"/>
      <c r="AA131" s="292"/>
      <c r="AB131" s="292"/>
      <c r="AC131" s="292"/>
      <c r="AD131" s="292"/>
      <c r="AE131" s="292"/>
      <c r="AF131" s="328"/>
      <c r="AG131" s="328"/>
      <c r="AH131" s="329"/>
      <c r="AI131" s="76" t="s">
        <v>5</v>
      </c>
      <c r="AJ131" s="213"/>
      <c r="AK131" s="158"/>
      <c r="AL131" s="158"/>
      <c r="AM131" s="158"/>
      <c r="AN131" s="158"/>
      <c r="AO131" s="158"/>
      <c r="AP131" s="158"/>
      <c r="AQ131" s="158"/>
      <c r="AR131" s="158"/>
      <c r="AS131" s="159"/>
      <c r="AT131" s="199"/>
      <c r="AU131" s="199"/>
      <c r="AV131" s="193">
        <f>IF(AND(AJ131&lt;&gt;0, Y131="Self or Dependent - Senior Citizen"), IF(AJ131&lt;=100000,AJ131,100000),IF(AND(AJ131&lt;&gt;0, Y131="Self or Dependent"),  IF(AJ131&lt;=40000,AJ131,40000),0))</f>
        <v>0</v>
      </c>
      <c r="AW131" s="194"/>
      <c r="AX131" s="194"/>
      <c r="AY131" s="194"/>
      <c r="AZ131" s="194"/>
      <c r="BA131" s="194"/>
      <c r="BB131" s="194"/>
      <c r="BC131" s="194"/>
      <c r="BD131" s="194"/>
      <c r="BE131" s="194"/>
      <c r="BF131" s="194"/>
      <c r="BG131" s="194"/>
      <c r="BH131" s="194"/>
      <c r="BI131" s="194"/>
      <c r="BJ131" s="195"/>
      <c r="BP131" s="132"/>
      <c r="BQ131" s="132"/>
      <c r="BR131" s="132"/>
      <c r="BS131" s="132"/>
      <c r="BT131" s="132"/>
      <c r="BU131" s="132"/>
      <c r="BV131" s="132"/>
      <c r="BW131" s="132"/>
    </row>
    <row r="132" spans="2:75" ht="5.0999999999999996" customHeight="1" x14ac:dyDescent="0.25">
      <c r="B132" s="20"/>
      <c r="BJ132" s="26"/>
    </row>
    <row r="133" spans="2:75" ht="18" customHeight="1" x14ac:dyDescent="0.25">
      <c r="B133" s="20"/>
      <c r="C133" s="214" t="s">
        <v>190</v>
      </c>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5"/>
      <c r="AI133" s="76" t="s">
        <v>5</v>
      </c>
      <c r="AJ133" s="213"/>
      <c r="AK133" s="158"/>
      <c r="AL133" s="158"/>
      <c r="AM133" s="158"/>
      <c r="AN133" s="158"/>
      <c r="AO133" s="158"/>
      <c r="AP133" s="158"/>
      <c r="AQ133" s="158"/>
      <c r="AR133" s="158"/>
      <c r="AS133" s="159"/>
      <c r="AT133" s="199"/>
      <c r="AU133" s="199"/>
      <c r="AV133" s="193">
        <f>IF(AJ133&lt;=AV72,AJ133,AV72)</f>
        <v>0</v>
      </c>
      <c r="AW133" s="194"/>
      <c r="AX133" s="194"/>
      <c r="AY133" s="194"/>
      <c r="AZ133" s="194"/>
      <c r="BA133" s="194"/>
      <c r="BB133" s="194"/>
      <c r="BC133" s="194"/>
      <c r="BD133" s="194"/>
      <c r="BE133" s="194"/>
      <c r="BF133" s="194"/>
      <c r="BG133" s="194"/>
      <c r="BH133" s="194"/>
      <c r="BI133" s="194"/>
      <c r="BJ133" s="195"/>
    </row>
    <row r="134" spans="2:75" ht="5.0999999999999996" customHeight="1" x14ac:dyDescent="0.25">
      <c r="B134" s="20"/>
      <c r="BJ134" s="26"/>
    </row>
    <row r="135" spans="2:75" ht="27.6" customHeight="1" x14ac:dyDescent="0.25">
      <c r="B135" s="20"/>
      <c r="C135" s="214" t="s">
        <v>191</v>
      </c>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5"/>
      <c r="AI135" s="76" t="s">
        <v>5</v>
      </c>
      <c r="AJ135" s="213"/>
      <c r="AK135" s="158"/>
      <c r="AL135" s="158"/>
      <c r="AM135" s="158"/>
      <c r="AN135" s="158"/>
      <c r="AO135" s="158"/>
      <c r="AP135" s="158"/>
      <c r="AQ135" s="158"/>
      <c r="AR135" s="158"/>
      <c r="AS135" s="159"/>
      <c r="AT135" s="199"/>
      <c r="AU135" s="199"/>
      <c r="AV135" s="193">
        <f>IF(AJ135&lt;=50000,AJ135,50000)</f>
        <v>0</v>
      </c>
      <c r="AW135" s="194"/>
      <c r="AX135" s="194"/>
      <c r="AY135" s="194"/>
      <c r="AZ135" s="194"/>
      <c r="BA135" s="194"/>
      <c r="BB135" s="194"/>
      <c r="BC135" s="194"/>
      <c r="BD135" s="194"/>
      <c r="BE135" s="194"/>
      <c r="BF135" s="194"/>
      <c r="BG135" s="194"/>
      <c r="BH135" s="194"/>
      <c r="BI135" s="194"/>
      <c r="BJ135" s="195"/>
      <c r="BP135" s="139" t="str">
        <f>IF(AJ135&gt;50000,"The maximum deduction allowed u/s 130 is ₹ 50,000.","")</f>
        <v/>
      </c>
      <c r="BQ135" s="140"/>
      <c r="BR135" s="140"/>
      <c r="BS135" s="140"/>
      <c r="BT135" s="140"/>
      <c r="BU135" s="140"/>
      <c r="BV135" s="140"/>
      <c r="BW135" s="140"/>
    </row>
    <row r="136" spans="2:75" ht="5.0999999999999996" customHeight="1" x14ac:dyDescent="0.25">
      <c r="B136" s="20"/>
      <c r="BJ136" s="26"/>
    </row>
    <row r="137" spans="2:75" ht="27.6" customHeight="1" x14ac:dyDescent="0.25">
      <c r="B137" s="20"/>
      <c r="C137" s="305" t="s">
        <v>192</v>
      </c>
      <c r="D137" s="306"/>
      <c r="E137" s="306"/>
      <c r="F137" s="306"/>
      <c r="G137" s="306"/>
      <c r="H137" s="306"/>
      <c r="I137" s="306"/>
      <c r="J137" s="306"/>
      <c r="K137" s="306"/>
      <c r="L137" s="306"/>
      <c r="M137" s="306"/>
      <c r="N137" s="306"/>
      <c r="O137" s="306"/>
      <c r="P137" s="306"/>
      <c r="Q137" s="306"/>
      <c r="R137" s="306"/>
      <c r="S137" s="306"/>
      <c r="T137" s="306"/>
      <c r="U137" s="306"/>
      <c r="V137" s="306"/>
      <c r="W137" s="306"/>
      <c r="X137" s="306"/>
      <c r="Y137" s="306"/>
      <c r="Z137" s="306"/>
      <c r="AA137" s="306"/>
      <c r="AB137" s="306"/>
      <c r="AC137" s="306"/>
      <c r="AD137" s="306"/>
      <c r="AE137" s="306"/>
      <c r="AF137" s="306"/>
      <c r="AG137" s="306"/>
      <c r="AH137" s="307"/>
      <c r="AI137" s="76" t="s">
        <v>5</v>
      </c>
      <c r="AJ137" s="213"/>
      <c r="AK137" s="158"/>
      <c r="AL137" s="158"/>
      <c r="AM137" s="158"/>
      <c r="AN137" s="158"/>
      <c r="AO137" s="158"/>
      <c r="AP137" s="158"/>
      <c r="AQ137" s="158"/>
      <c r="AR137" s="158"/>
      <c r="AS137" s="159"/>
      <c r="AT137" s="199"/>
      <c r="AU137" s="199"/>
      <c r="AV137" s="193">
        <f>IF(AV135=0,IF(AJ137&lt;=150000,AJ137,150000),0)</f>
        <v>0</v>
      </c>
      <c r="AW137" s="194"/>
      <c r="AX137" s="194"/>
      <c r="AY137" s="194"/>
      <c r="AZ137" s="194"/>
      <c r="BA137" s="194"/>
      <c r="BB137" s="194"/>
      <c r="BC137" s="194"/>
      <c r="BD137" s="194"/>
      <c r="BE137" s="194"/>
      <c r="BF137" s="194"/>
      <c r="BG137" s="194"/>
      <c r="BH137" s="194"/>
      <c r="BI137" s="194"/>
      <c r="BJ137" s="195"/>
      <c r="BP137" s="139" t="str">
        <f>IF(AND(AV135&lt;&gt;0,AJ137&lt;&gt;0),"You are not eligible for deductions u/s 131, since you have deduction u/s 130.",IF(AND(AV135=0,AJ137&gt;150000),"The maximum deduction allowed u/s 131 is ₹ 150,000.",""))</f>
        <v/>
      </c>
      <c r="BQ137" s="140"/>
      <c r="BR137" s="140"/>
      <c r="BS137" s="140"/>
      <c r="BT137" s="140"/>
      <c r="BU137" s="140"/>
      <c r="BV137" s="140"/>
      <c r="BW137" s="140"/>
    </row>
    <row r="138" spans="2:75" ht="5.0999999999999996" customHeight="1" x14ac:dyDescent="0.25">
      <c r="B138" s="20"/>
      <c r="BJ138" s="26"/>
    </row>
    <row r="139" spans="2:75" ht="27.6" customHeight="1" x14ac:dyDescent="0.25">
      <c r="B139" s="20"/>
      <c r="C139" s="305" t="s">
        <v>194</v>
      </c>
      <c r="D139" s="306"/>
      <c r="E139" s="306"/>
      <c r="F139" s="306"/>
      <c r="G139" s="306"/>
      <c r="H139" s="306"/>
      <c r="I139" s="306"/>
      <c r="J139" s="306"/>
      <c r="K139" s="306"/>
      <c r="L139" s="306"/>
      <c r="M139" s="306"/>
      <c r="N139" s="306"/>
      <c r="O139" s="306"/>
      <c r="P139" s="306"/>
      <c r="Q139" s="306"/>
      <c r="R139" s="306"/>
      <c r="S139" s="306"/>
      <c r="T139" s="306"/>
      <c r="U139" s="306"/>
      <c r="V139" s="306"/>
      <c r="W139" s="306"/>
      <c r="X139" s="306"/>
      <c r="Y139" s="306"/>
      <c r="Z139" s="306"/>
      <c r="AA139" s="306"/>
      <c r="AB139" s="306"/>
      <c r="AC139" s="306"/>
      <c r="AD139" s="306"/>
      <c r="AE139" s="306"/>
      <c r="AF139" s="306"/>
      <c r="AG139" s="306"/>
      <c r="AH139" s="307"/>
      <c r="AI139" s="76" t="s">
        <v>5</v>
      </c>
      <c r="AJ139" s="213"/>
      <c r="AK139" s="158"/>
      <c r="AL139" s="158"/>
      <c r="AM139" s="158"/>
      <c r="AN139" s="158"/>
      <c r="AO139" s="158"/>
      <c r="AP139" s="158"/>
      <c r="AQ139" s="158"/>
      <c r="AR139" s="158"/>
      <c r="AS139" s="159"/>
      <c r="AT139" s="199"/>
      <c r="AU139" s="199"/>
      <c r="AV139" s="193">
        <f>IF(AJ139&lt;=150000,AJ139,150000)</f>
        <v>0</v>
      </c>
      <c r="AW139" s="194"/>
      <c r="AX139" s="194"/>
      <c r="AY139" s="194"/>
      <c r="AZ139" s="194"/>
      <c r="BA139" s="194"/>
      <c r="BB139" s="194"/>
      <c r="BC139" s="194"/>
      <c r="BD139" s="194"/>
      <c r="BE139" s="194"/>
      <c r="BF139" s="194"/>
      <c r="BG139" s="194"/>
      <c r="BH139" s="194"/>
      <c r="BI139" s="194"/>
      <c r="BJ139" s="195"/>
      <c r="BP139" s="141" t="str">
        <f>IF(AJ139&gt;150000,"The maximum deduction allowed u/s 132 is ₹ 150,000.","")</f>
        <v/>
      </c>
      <c r="BQ139" s="142"/>
      <c r="BR139" s="142"/>
      <c r="BS139" s="142"/>
      <c r="BT139" s="142"/>
      <c r="BU139" s="142"/>
      <c r="BV139" s="142"/>
      <c r="BW139" s="142"/>
    </row>
    <row r="140" spans="2:75" ht="5.0999999999999996" customHeight="1" x14ac:dyDescent="0.25">
      <c r="B140" s="20"/>
      <c r="BJ140" s="26"/>
    </row>
    <row r="141" spans="2:75" ht="39.9" customHeight="1" x14ac:dyDescent="0.25">
      <c r="B141" s="20"/>
      <c r="C141" s="214" t="s">
        <v>193</v>
      </c>
      <c r="D141" s="288"/>
      <c r="E141" s="288"/>
      <c r="F141" s="288"/>
      <c r="G141" s="288"/>
      <c r="H141" s="288"/>
      <c r="I141" s="288"/>
      <c r="J141" s="288"/>
      <c r="K141" s="288"/>
      <c r="L141" s="288"/>
      <c r="M141" s="288"/>
      <c r="N141" s="210" t="s">
        <v>127</v>
      </c>
      <c r="O141" s="303"/>
      <c r="P141" s="303"/>
      <c r="Q141" s="303"/>
      <c r="R141" s="303"/>
      <c r="S141" s="303"/>
      <c r="T141" s="303"/>
      <c r="U141" s="303"/>
      <c r="V141" s="304"/>
      <c r="W141" s="214" t="s">
        <v>93</v>
      </c>
      <c r="X141" s="288"/>
      <c r="Y141" s="288"/>
      <c r="Z141" s="288"/>
      <c r="AA141" s="216"/>
      <c r="AB141" s="210" t="s">
        <v>43</v>
      </c>
      <c r="AC141" s="211"/>
      <c r="AD141" s="211"/>
      <c r="AE141" s="211"/>
      <c r="AF141" s="211"/>
      <c r="AG141" s="211"/>
      <c r="AH141" s="212"/>
      <c r="AI141" s="76" t="s">
        <v>5</v>
      </c>
      <c r="AJ141" s="213"/>
      <c r="AK141" s="158"/>
      <c r="AL141" s="158"/>
      <c r="AM141" s="158"/>
      <c r="AN141" s="158"/>
      <c r="AO141" s="158"/>
      <c r="AP141" s="158"/>
      <c r="AQ141" s="158"/>
      <c r="AR141" s="158"/>
      <c r="AS141" s="159"/>
      <c r="AT141" s="199"/>
      <c r="AU141" s="199"/>
      <c r="AV141" s="193">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194"/>
      <c r="AX141" s="194"/>
      <c r="AY141" s="194"/>
      <c r="AZ141" s="194"/>
      <c r="BA141" s="194"/>
      <c r="BB141" s="194"/>
      <c r="BC141" s="194"/>
      <c r="BD141" s="194"/>
      <c r="BE141" s="194"/>
      <c r="BF141" s="194"/>
      <c r="BG141" s="194"/>
      <c r="BH141" s="194"/>
      <c r="BI141" s="194"/>
      <c r="BJ141" s="195"/>
      <c r="BK141" s="41">
        <f>IF(AND(AV72&lt;&gt;0,AJ141&lt;&gt;0,AV72&gt;=BL141),AV72-BL141,0)</f>
        <v>0</v>
      </c>
      <c r="BL141" s="41">
        <f>IF(AND(AV72&lt;&gt;0,AJ141&lt;&gt;0),SUM(AV99,AV101,AV103,AV105,AV107,AV127,AV129,AV131,AV133,AV135,AV137,AV139,AV145,AV147,AV149,AV155,AV157),0)</f>
        <v>0</v>
      </c>
      <c r="BP141" s="132"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138"/>
      <c r="BR141" s="138"/>
      <c r="BS141" s="138"/>
      <c r="BT141" s="138"/>
      <c r="BU141" s="138"/>
      <c r="BV141" s="138"/>
    </row>
    <row r="142" spans="2:75" ht="5.0999999999999996" customHeight="1" x14ac:dyDescent="0.25">
      <c r="B142" s="20"/>
      <c r="BJ142" s="26"/>
    </row>
    <row r="143" spans="2:75" ht="39.9" customHeight="1" x14ac:dyDescent="0.25">
      <c r="B143" s="20"/>
      <c r="C143" s="214" t="s">
        <v>193</v>
      </c>
      <c r="D143" s="288"/>
      <c r="E143" s="288"/>
      <c r="F143" s="288"/>
      <c r="G143" s="288"/>
      <c r="H143" s="288"/>
      <c r="I143" s="288"/>
      <c r="J143" s="288"/>
      <c r="K143" s="288"/>
      <c r="L143" s="288"/>
      <c r="M143" s="288"/>
      <c r="N143" s="210" t="s">
        <v>127</v>
      </c>
      <c r="O143" s="303"/>
      <c r="P143" s="303"/>
      <c r="Q143" s="303"/>
      <c r="R143" s="303"/>
      <c r="S143" s="303"/>
      <c r="T143" s="303"/>
      <c r="U143" s="303"/>
      <c r="V143" s="304"/>
      <c r="W143" s="214" t="s">
        <v>93</v>
      </c>
      <c r="X143" s="288"/>
      <c r="Y143" s="288"/>
      <c r="Z143" s="288"/>
      <c r="AA143" s="216"/>
      <c r="AB143" s="210" t="s">
        <v>43</v>
      </c>
      <c r="AC143" s="211"/>
      <c r="AD143" s="211"/>
      <c r="AE143" s="211"/>
      <c r="AF143" s="211"/>
      <c r="AG143" s="211"/>
      <c r="AH143" s="212"/>
      <c r="AI143" s="76" t="s">
        <v>5</v>
      </c>
      <c r="AJ143" s="213"/>
      <c r="AK143" s="158"/>
      <c r="AL143" s="158"/>
      <c r="AM143" s="158"/>
      <c r="AN143" s="158"/>
      <c r="AO143" s="158"/>
      <c r="AP143" s="158"/>
      <c r="AQ143" s="158"/>
      <c r="AR143" s="158"/>
      <c r="AS143" s="159"/>
      <c r="AT143" s="199"/>
      <c r="AU143" s="199"/>
      <c r="AV143" s="193">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194"/>
      <c r="AX143" s="194"/>
      <c r="AY143" s="194"/>
      <c r="AZ143" s="194"/>
      <c r="BA143" s="194"/>
      <c r="BB143" s="194"/>
      <c r="BC143" s="194"/>
      <c r="BD143" s="194"/>
      <c r="BE143" s="194"/>
      <c r="BF143" s="194"/>
      <c r="BG143" s="194"/>
      <c r="BH143" s="194"/>
      <c r="BI143" s="194"/>
      <c r="BJ143" s="195"/>
      <c r="BK143" s="41">
        <f>IF(AND(AV72&lt;&gt;0,AJ143&lt;&gt;0,AV72&gt;=BL143),AV72-BL143,0)</f>
        <v>0</v>
      </c>
      <c r="BL143" s="41">
        <f>IF(AND(AV72&lt;&gt;0,AJ143&lt;&gt;0),SUM(AV99,AV101,AV103,AV105,AV107,AV127,AV129,AV131,AV133,AV135,AV137,AV139,AV145,AV147,AV149,AV155,AV157),0)</f>
        <v>0</v>
      </c>
      <c r="BP143" s="132"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138"/>
      <c r="BR143" s="138"/>
      <c r="BS143" s="138"/>
      <c r="BT143" s="138"/>
      <c r="BU143" s="138"/>
      <c r="BV143" s="138"/>
    </row>
    <row r="144" spans="2:75" ht="5.0999999999999996" customHeight="1" x14ac:dyDescent="0.25">
      <c r="B144" s="20"/>
      <c r="BJ144" s="26"/>
      <c r="BP144" s="143" t="str">
        <f>IF(AND(AJ145&lt;&gt;0,W24&lt;&gt;0),"Since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144"/>
      <c r="BR144" s="144"/>
      <c r="BS144" s="144"/>
      <c r="BT144" s="144"/>
      <c r="BU144" s="144"/>
      <c r="BV144" s="144"/>
      <c r="BW144" s="144"/>
    </row>
    <row r="145" spans="2:75" s="80" customFormat="1" ht="18" customHeight="1" x14ac:dyDescent="0.3">
      <c r="B145" s="79"/>
      <c r="C145" s="214" t="s">
        <v>195</v>
      </c>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7"/>
      <c r="AI145" s="76" t="s">
        <v>5</v>
      </c>
      <c r="AJ145" s="213"/>
      <c r="AK145" s="158"/>
      <c r="AL145" s="158"/>
      <c r="AM145" s="158"/>
      <c r="AN145" s="158"/>
      <c r="AO145" s="158"/>
      <c r="AP145" s="158"/>
      <c r="AQ145" s="158"/>
      <c r="AR145" s="158"/>
      <c r="AS145" s="159"/>
      <c r="AT145" s="206"/>
      <c r="AU145" s="197"/>
      <c r="AV145" s="193">
        <f>IF(AND(AJ145&lt;&gt;0,W24=0,AV60=0,AV91=0,AV135=0,AV137=0),MIN(ROUND(0.25*(K24+Q24),0),60000,IF(AJ145&gt;ROUND(0.1*(K24+Q24),0),AJ145-ROUND(0.1*(K24+Q24),0),0)),0)</f>
        <v>0</v>
      </c>
      <c r="AW145" s="194"/>
      <c r="AX145" s="194"/>
      <c r="AY145" s="194"/>
      <c r="AZ145" s="194"/>
      <c r="BA145" s="194"/>
      <c r="BB145" s="194"/>
      <c r="BC145" s="194"/>
      <c r="BD145" s="194"/>
      <c r="BE145" s="194"/>
      <c r="BF145" s="194"/>
      <c r="BG145" s="194"/>
      <c r="BH145" s="194"/>
      <c r="BI145" s="194"/>
      <c r="BJ145" s="195"/>
      <c r="BP145" s="144"/>
      <c r="BQ145" s="144"/>
      <c r="BR145" s="144"/>
      <c r="BS145" s="144"/>
      <c r="BT145" s="144"/>
      <c r="BU145" s="144"/>
      <c r="BV145" s="144"/>
      <c r="BW145" s="144"/>
    </row>
    <row r="146" spans="2:75" ht="5.0999999999999996" customHeight="1" x14ac:dyDescent="0.25">
      <c r="B146" s="20"/>
      <c r="BJ146" s="26"/>
      <c r="BP146" s="138"/>
      <c r="BQ146" s="138"/>
      <c r="BR146" s="138"/>
      <c r="BS146" s="138"/>
      <c r="BT146" s="138"/>
      <c r="BU146" s="138"/>
      <c r="BV146" s="138"/>
      <c r="BW146" s="138"/>
    </row>
    <row r="147" spans="2:75" ht="27.6" customHeight="1" x14ac:dyDescent="0.25">
      <c r="B147" s="20"/>
      <c r="C147" s="214" t="s">
        <v>196</v>
      </c>
      <c r="D147" s="215"/>
      <c r="E147" s="215"/>
      <c r="F147" s="215"/>
      <c r="G147" s="215"/>
      <c r="H147" s="215"/>
      <c r="I147" s="215"/>
      <c r="J147" s="215"/>
      <c r="K147" s="215"/>
      <c r="L147" s="215"/>
      <c r="M147" s="215"/>
      <c r="N147" s="215"/>
      <c r="O147" s="215"/>
      <c r="P147" s="215"/>
      <c r="Q147" s="215"/>
      <c r="R147" s="215"/>
      <c r="S147" s="215"/>
      <c r="T147" s="215"/>
      <c r="U147" s="215"/>
      <c r="V147" s="216"/>
      <c r="W147" s="214" t="s">
        <v>93</v>
      </c>
      <c r="X147" s="288"/>
      <c r="Y147" s="288"/>
      <c r="Z147" s="288"/>
      <c r="AA147" s="216"/>
      <c r="AB147" s="210" t="s">
        <v>43</v>
      </c>
      <c r="AC147" s="211"/>
      <c r="AD147" s="211"/>
      <c r="AE147" s="211"/>
      <c r="AF147" s="211"/>
      <c r="AG147" s="211"/>
      <c r="AH147" s="212"/>
      <c r="AI147" s="76" t="s">
        <v>5</v>
      </c>
      <c r="AJ147" s="213"/>
      <c r="AK147" s="158"/>
      <c r="AL147" s="158"/>
      <c r="AM147" s="158"/>
      <c r="AN147" s="158"/>
      <c r="AO147" s="158"/>
      <c r="AP147" s="158"/>
      <c r="AQ147" s="158"/>
      <c r="AR147" s="158"/>
      <c r="AS147" s="159"/>
      <c r="AT147" s="199"/>
      <c r="AU147" s="199"/>
      <c r="AV147" s="193">
        <f>IF(AB147="Other than Cash",IF(AJ147&lt;=AV72,AJ147,AV72),IF(AB147="Cash",IF(AJ147&lt;=2000,AJ147,0),0))</f>
        <v>0</v>
      </c>
      <c r="AW147" s="194"/>
      <c r="AX147" s="194"/>
      <c r="AY147" s="194"/>
      <c r="AZ147" s="194"/>
      <c r="BA147" s="194"/>
      <c r="BB147" s="194"/>
      <c r="BC147" s="194"/>
      <c r="BD147" s="194"/>
      <c r="BE147" s="194"/>
      <c r="BF147" s="194"/>
      <c r="BG147" s="194"/>
      <c r="BH147" s="194"/>
      <c r="BI147" s="194"/>
      <c r="BJ147" s="195"/>
      <c r="BP147" s="132" t="str">
        <f>IF(AND(AJ147&lt;&gt;0, OR(ISBLANK(AB147),AB147="SELECT")),"Please select the payment mode. ",IF(AND(AJ147&gt;2000, AB147="cash"),"Donations made in excess of ₹ 2000 in cash mode are not allowed for deduction u/s 135. ",""))</f>
        <v/>
      </c>
      <c r="BQ147" s="138"/>
      <c r="BR147" s="138"/>
      <c r="BS147" s="138"/>
      <c r="BT147" s="138"/>
      <c r="BU147" s="138"/>
      <c r="BV147" s="138"/>
      <c r="BW147" s="138"/>
    </row>
    <row r="148" spans="2:75" ht="5.0999999999999996" customHeight="1" x14ac:dyDescent="0.25">
      <c r="B148" s="20"/>
      <c r="BJ148" s="26"/>
    </row>
    <row r="149" spans="2:75" ht="24" customHeight="1" x14ac:dyDescent="0.25">
      <c r="B149" s="20"/>
      <c r="C149" s="214" t="s">
        <v>197</v>
      </c>
      <c r="D149" s="215"/>
      <c r="E149" s="215"/>
      <c r="F149" s="215"/>
      <c r="G149" s="215"/>
      <c r="H149" s="215"/>
      <c r="I149" s="215"/>
      <c r="J149" s="215"/>
      <c r="K149" s="215"/>
      <c r="L149" s="215"/>
      <c r="M149" s="215"/>
      <c r="N149" s="215"/>
      <c r="O149" s="215"/>
      <c r="P149" s="215"/>
      <c r="Q149" s="215"/>
      <c r="R149" s="215"/>
      <c r="S149" s="215"/>
      <c r="T149" s="215"/>
      <c r="U149" s="215"/>
      <c r="V149" s="216"/>
      <c r="W149" s="311" t="s">
        <v>93</v>
      </c>
      <c r="X149" s="312"/>
      <c r="Y149" s="312"/>
      <c r="Z149" s="312"/>
      <c r="AA149" s="313"/>
      <c r="AB149" s="210" t="s">
        <v>43</v>
      </c>
      <c r="AC149" s="211"/>
      <c r="AD149" s="211"/>
      <c r="AE149" s="211"/>
      <c r="AF149" s="211"/>
      <c r="AG149" s="211"/>
      <c r="AH149" s="212"/>
      <c r="AI149" s="76" t="s">
        <v>5</v>
      </c>
      <c r="AJ149" s="213"/>
      <c r="AK149" s="158"/>
      <c r="AL149" s="158"/>
      <c r="AM149" s="158"/>
      <c r="AN149" s="158"/>
      <c r="AO149" s="158"/>
      <c r="AP149" s="158"/>
      <c r="AQ149" s="158"/>
      <c r="AR149" s="158"/>
      <c r="AS149" s="159"/>
      <c r="AT149" s="199"/>
      <c r="AU149" s="199"/>
      <c r="AV149" s="193">
        <f>IF(AB149="Other than Cash",IF(AJ149&lt;=AV72,AJ149,AV72),0)</f>
        <v>0</v>
      </c>
      <c r="AW149" s="194"/>
      <c r="AX149" s="194"/>
      <c r="AY149" s="194"/>
      <c r="AZ149" s="194"/>
      <c r="BA149" s="194"/>
      <c r="BB149" s="194"/>
      <c r="BC149" s="194"/>
      <c r="BD149" s="194"/>
      <c r="BE149" s="194"/>
      <c r="BF149" s="194"/>
      <c r="BG149" s="194"/>
      <c r="BH149" s="194"/>
      <c r="BI149" s="194"/>
      <c r="BJ149" s="195"/>
      <c r="BP149" s="132" t="str">
        <f>IF(AND(AJ149&lt;&gt;0, OR(ISBLANK(AB149),AB149="SELECT")),"Please select the payment mode. ",IF(AND(AJ149&lt;&gt;0, AB149="cash"),"Donation to political parties in cash mode is not allowed for deduction u/s 137. ",""))</f>
        <v/>
      </c>
      <c r="BQ149" s="138"/>
      <c r="BR149" s="138"/>
      <c r="BS149" s="138"/>
      <c r="BT149" s="138"/>
      <c r="BU149" s="138"/>
      <c r="BV149" s="138"/>
      <c r="BW149" s="138"/>
    </row>
    <row r="150" spans="2:75" ht="5.0999999999999996" customHeight="1" x14ac:dyDescent="0.25">
      <c r="B150" s="20"/>
      <c r="BJ150" s="26"/>
      <c r="BP150" s="132" t="str">
        <f>IF(AND(AJ151&lt;&gt;0,SUM(AJ151,AJ153)&gt;AV70),"Please ensure that all the royality income are included as part of any other income in the section ""5. Income from Other Sources u/s 92."" ",IF(AND(AJ151&lt;&gt;0,AV151=300000),"The maximum deduction allowed u/s 151 is ₹ 300,000.",""))</f>
        <v/>
      </c>
      <c r="BQ150" s="174"/>
      <c r="BR150" s="174"/>
      <c r="BS150" s="174"/>
      <c r="BT150" s="174"/>
      <c r="BU150" s="174"/>
      <c r="BV150" s="174"/>
      <c r="BW150" s="174"/>
    </row>
    <row r="151" spans="2:75" s="80" customFormat="1" ht="18" customHeight="1" x14ac:dyDescent="0.3">
      <c r="B151" s="79"/>
      <c r="C151" s="214" t="s">
        <v>198</v>
      </c>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7"/>
      <c r="AI151" s="76" t="s">
        <v>5</v>
      </c>
      <c r="AJ151" s="213"/>
      <c r="AK151" s="158"/>
      <c r="AL151" s="158"/>
      <c r="AM151" s="158"/>
      <c r="AN151" s="158"/>
      <c r="AO151" s="158"/>
      <c r="AP151" s="158"/>
      <c r="AQ151" s="158"/>
      <c r="AR151" s="158"/>
      <c r="AS151" s="159"/>
      <c r="AT151" s="206"/>
      <c r="AU151" s="197"/>
      <c r="AV151" s="193">
        <f>IF(AND(AJ151&lt;&gt;0,SUM(AJ151,AJ153)&lt;=AV70),IF(AJ151&lt;=300000,AJ151,300000),0)</f>
        <v>0</v>
      </c>
      <c r="AW151" s="194"/>
      <c r="AX151" s="194"/>
      <c r="AY151" s="194"/>
      <c r="AZ151" s="194"/>
      <c r="BA151" s="194"/>
      <c r="BB151" s="194"/>
      <c r="BC151" s="194"/>
      <c r="BD151" s="194"/>
      <c r="BE151" s="194"/>
      <c r="BF151" s="194"/>
      <c r="BG151" s="194"/>
      <c r="BH151" s="194"/>
      <c r="BI151" s="194"/>
      <c r="BJ151" s="195"/>
      <c r="BP151" s="174"/>
      <c r="BQ151" s="174"/>
      <c r="BR151" s="174"/>
      <c r="BS151" s="174"/>
      <c r="BT151" s="174"/>
      <c r="BU151" s="174"/>
      <c r="BV151" s="174"/>
      <c r="BW151" s="174"/>
    </row>
    <row r="152" spans="2:75" ht="5.0999999999999996" customHeight="1" x14ac:dyDescent="0.25">
      <c r="B152" s="20"/>
      <c r="BJ152" s="26"/>
      <c r="BP152" s="174"/>
      <c r="BQ152" s="174"/>
      <c r="BR152" s="174"/>
      <c r="BS152" s="174"/>
      <c r="BT152" s="174"/>
      <c r="BU152" s="174"/>
      <c r="BV152" s="174"/>
      <c r="BW152" s="174"/>
    </row>
    <row r="153" spans="2:75" s="80" customFormat="1" ht="18" customHeight="1" x14ac:dyDescent="0.3">
      <c r="B153" s="79"/>
      <c r="C153" s="214" t="s">
        <v>199</v>
      </c>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7"/>
      <c r="AI153" s="76" t="s">
        <v>5</v>
      </c>
      <c r="AJ153" s="213"/>
      <c r="AK153" s="158"/>
      <c r="AL153" s="158"/>
      <c r="AM153" s="158"/>
      <c r="AN153" s="158"/>
      <c r="AO153" s="158"/>
      <c r="AP153" s="158"/>
      <c r="AQ153" s="158"/>
      <c r="AR153" s="158"/>
      <c r="AS153" s="159"/>
      <c r="AT153" s="206"/>
      <c r="AU153" s="197"/>
      <c r="AV153" s="193">
        <f>IF(AND(AJ153&lt;&gt;0,SUM(AJ151,AJ153)&lt;=AV70),IF(AJ153&lt;=300000,AJ153,300000),0)</f>
        <v>0</v>
      </c>
      <c r="AW153" s="194"/>
      <c r="AX153" s="194"/>
      <c r="AY153" s="194"/>
      <c r="AZ153" s="194"/>
      <c r="BA153" s="194"/>
      <c r="BB153" s="194"/>
      <c r="BC153" s="194"/>
      <c r="BD153" s="194"/>
      <c r="BE153" s="194"/>
      <c r="BF153" s="194"/>
      <c r="BG153" s="194"/>
      <c r="BH153" s="194"/>
      <c r="BI153" s="194"/>
      <c r="BJ153" s="195"/>
      <c r="BP153" s="143" t="str">
        <f>IF(AND(AJ153&lt;&gt;0,SUM(AJ151,AJ153)&gt;AV70),"Please ensure that all the royality income are included as part of any other income in the section ""5. Income from Other Sources u/s 92."" ",IF(AND(AJ153&lt;&gt;0,AV153=300000),"The maximum deduction allowed u/s 152 is ₹ 300,000.",""))</f>
        <v/>
      </c>
      <c r="BQ153" s="334"/>
      <c r="BR153" s="334"/>
      <c r="BS153" s="334"/>
      <c r="BT153" s="334"/>
      <c r="BU153" s="334"/>
      <c r="BV153" s="334"/>
      <c r="BW153" s="334"/>
    </row>
    <row r="154" spans="2:75" ht="5.0999999999999996" customHeight="1" x14ac:dyDescent="0.25">
      <c r="B154" s="20"/>
      <c r="BJ154" s="26"/>
      <c r="BP154" s="335"/>
      <c r="BQ154" s="335"/>
      <c r="BR154" s="335"/>
      <c r="BS154" s="335"/>
      <c r="BT154" s="335"/>
      <c r="BU154" s="335"/>
      <c r="BV154" s="335"/>
      <c r="BW154" s="335"/>
    </row>
    <row r="155" spans="2:75" ht="18" customHeight="1" x14ac:dyDescent="0.25">
      <c r="B155" s="20"/>
      <c r="C155" s="214" t="s">
        <v>200</v>
      </c>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5"/>
      <c r="AI155" s="76" t="s">
        <v>5</v>
      </c>
      <c r="AJ155" s="205">
        <f>IF(AV64&lt;&gt;0, AV64,0)</f>
        <v>0</v>
      </c>
      <c r="AK155" s="156"/>
      <c r="AL155" s="156"/>
      <c r="AM155" s="156"/>
      <c r="AN155" s="156"/>
      <c r="AO155" s="156"/>
      <c r="AP155" s="156"/>
      <c r="AQ155" s="156"/>
      <c r="AR155" s="156"/>
      <c r="AS155" s="157"/>
      <c r="AT155" s="199"/>
      <c r="AU155" s="199"/>
      <c r="AV155" s="193">
        <f>IF(AJ155&lt;=10000,AJ155,10000)</f>
        <v>0</v>
      </c>
      <c r="AW155" s="194"/>
      <c r="AX155" s="194"/>
      <c r="AY155" s="194"/>
      <c r="AZ155" s="194"/>
      <c r="BA155" s="194"/>
      <c r="BB155" s="194"/>
      <c r="BC155" s="194"/>
      <c r="BD155" s="194"/>
      <c r="BE155" s="194"/>
      <c r="BF155" s="194"/>
      <c r="BG155" s="194"/>
      <c r="BH155" s="194"/>
      <c r="BI155" s="194"/>
      <c r="BJ155" s="195"/>
      <c r="BP155" s="139" t="str">
        <f>IF(AJ155&gt;10000,"The maximum deduction allowed u/s 153 is ₹ 10,000.","")</f>
        <v/>
      </c>
      <c r="BQ155" s="139"/>
      <c r="BR155" s="139"/>
      <c r="BS155" s="139"/>
      <c r="BT155" s="139"/>
      <c r="BU155" s="139"/>
      <c r="BV155" s="139"/>
      <c r="BW155" s="139"/>
    </row>
    <row r="156" spans="2:75" ht="5.0999999999999996" customHeight="1" x14ac:dyDescent="0.25">
      <c r="B156" s="20"/>
      <c r="BJ156" s="26"/>
    </row>
    <row r="157" spans="2:75" ht="25.5" customHeight="1" x14ac:dyDescent="0.25">
      <c r="B157" s="20"/>
      <c r="C157" s="214" t="s">
        <v>201</v>
      </c>
      <c r="D157" s="215"/>
      <c r="E157" s="215"/>
      <c r="F157" s="215"/>
      <c r="G157" s="215"/>
      <c r="H157" s="215"/>
      <c r="I157" s="215"/>
      <c r="J157" s="215"/>
      <c r="K157" s="215"/>
      <c r="L157" s="215"/>
      <c r="M157" s="215"/>
      <c r="N157" s="215"/>
      <c r="O157" s="215"/>
      <c r="P157" s="215"/>
      <c r="Q157" s="215"/>
      <c r="R157" s="215"/>
      <c r="S157" s="215"/>
      <c r="T157" s="215"/>
      <c r="U157" s="215"/>
      <c r="V157" s="215"/>
      <c r="W157" s="215"/>
      <c r="X157" s="217"/>
      <c r="Y157" s="218" t="s">
        <v>43</v>
      </c>
      <c r="Z157" s="219"/>
      <c r="AA157" s="219"/>
      <c r="AB157" s="219"/>
      <c r="AC157" s="219"/>
      <c r="AD157" s="219"/>
      <c r="AE157" s="219"/>
      <c r="AF157" s="220"/>
      <c r="AG157" s="220"/>
      <c r="AH157" s="221"/>
      <c r="AI157" s="76" t="s">
        <v>5</v>
      </c>
      <c r="AJ157" s="205">
        <f>IF( Y157="Self with Severe Disability", 125000, IF( Y157="Self with Disability", 75000,0))</f>
        <v>0</v>
      </c>
      <c r="AK157" s="156"/>
      <c r="AL157" s="156"/>
      <c r="AM157" s="156"/>
      <c r="AN157" s="156"/>
      <c r="AO157" s="156"/>
      <c r="AP157" s="156"/>
      <c r="AQ157" s="156"/>
      <c r="AR157" s="156"/>
      <c r="AS157" s="157"/>
      <c r="AT157" s="199"/>
      <c r="AU157" s="199"/>
      <c r="AV157" s="193">
        <f>AJ157</f>
        <v>0</v>
      </c>
      <c r="AW157" s="194"/>
      <c r="AX157" s="194"/>
      <c r="AY157" s="194"/>
      <c r="AZ157" s="194"/>
      <c r="BA157" s="194"/>
      <c r="BB157" s="194"/>
      <c r="BC157" s="194"/>
      <c r="BD157" s="194"/>
      <c r="BE157" s="194"/>
      <c r="BF157" s="194"/>
      <c r="BG157" s="194"/>
      <c r="BH157" s="194"/>
      <c r="BI157" s="194"/>
      <c r="BJ157" s="195"/>
      <c r="BP157" s="132" t="str">
        <f>IF(AV157&lt;&gt;0, "Please ensure to submit FORM NO. 10-IA.","")</f>
        <v/>
      </c>
      <c r="BQ157" s="138"/>
      <c r="BR157" s="138"/>
      <c r="BS157" s="138"/>
      <c r="BT157" s="138"/>
      <c r="BU157" s="138"/>
      <c r="BV157" s="138"/>
      <c r="BW157" s="138"/>
    </row>
    <row r="158" spans="2:75" ht="5.0999999999999996" customHeight="1" x14ac:dyDescent="0.25">
      <c r="B158" s="20"/>
      <c r="BJ158" s="26"/>
    </row>
    <row r="159" spans="2:75" ht="15" customHeight="1" x14ac:dyDescent="0.25">
      <c r="B159" s="22"/>
      <c r="C159" s="202" t="s">
        <v>92</v>
      </c>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4"/>
      <c r="AI159" s="76" t="s">
        <v>5</v>
      </c>
      <c r="AJ159" s="205">
        <f>SUM(AJ99,AJ101,AJ103,IF(AJ105&gt;AV105,AJ105,AV105),AJ107,AJ127,AJ129,AJ131,AJ133,AJ135,AJ137,AJ139,AJ141,AJ143,AJ145,AJ147,AJ149,AJ151,AJ153,AJ155,AJ157)</f>
        <v>0</v>
      </c>
      <c r="AK159" s="156"/>
      <c r="AL159" s="156"/>
      <c r="AM159" s="156"/>
      <c r="AN159" s="156"/>
      <c r="AO159" s="156"/>
      <c r="AP159" s="156"/>
      <c r="AQ159" s="156"/>
      <c r="AR159" s="156"/>
      <c r="AS159" s="157"/>
      <c r="AT159" s="199"/>
      <c r="AU159" s="199"/>
      <c r="AV159" s="193">
        <f>SUM(AV99,AV101,AV103,AV105,AV107,AV127,AV129,AV131,AV133,AV135,AV137,AV139,AV141,AV143,AV145,AV147,AV149,AV151,AV153,AV155,AV157)</f>
        <v>0</v>
      </c>
      <c r="AW159" s="194"/>
      <c r="AX159" s="194"/>
      <c r="AY159" s="194"/>
      <c r="AZ159" s="194"/>
      <c r="BA159" s="194"/>
      <c r="BB159" s="194"/>
      <c r="BC159" s="194"/>
      <c r="BD159" s="194"/>
      <c r="BE159" s="194"/>
      <c r="BF159" s="194"/>
      <c r="BG159" s="194"/>
      <c r="BH159" s="194"/>
      <c r="BI159" s="194"/>
      <c r="BJ159" s="195"/>
      <c r="BP159" s="132" t="str">
        <f>IF(AV72&lt;AV159,"Total deductions under chapter VIII cannot exceed Gross Total Income.","")</f>
        <v/>
      </c>
      <c r="BQ159" s="132"/>
      <c r="BR159" s="132"/>
      <c r="BS159" s="132"/>
      <c r="BT159" s="132"/>
      <c r="BU159" s="132"/>
      <c r="BV159" s="132"/>
      <c r="BW159" s="132"/>
    </row>
    <row r="160" spans="2:75" ht="6.9" customHeight="1" x14ac:dyDescent="0.25">
      <c r="B160" s="20"/>
      <c r="BJ160" s="26"/>
      <c r="BP160" s="132"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32"/>
      <c r="BR160" s="132"/>
      <c r="BS160" s="132"/>
      <c r="BT160" s="132"/>
      <c r="BU160" s="132"/>
      <c r="BV160" s="132"/>
      <c r="BW160" s="132"/>
    </row>
    <row r="161" spans="2:75" ht="18" customHeight="1" x14ac:dyDescent="0.25">
      <c r="B161" s="192" t="s">
        <v>131</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5"/>
      <c r="AU161" s="76" t="s">
        <v>5</v>
      </c>
      <c r="AV161" s="193">
        <f>IF(AV72&gt;AV159,MROUND(ABS(AV72-AV159), 10),0)</f>
        <v>0</v>
      </c>
      <c r="AW161" s="194"/>
      <c r="AX161" s="194"/>
      <c r="AY161" s="194"/>
      <c r="AZ161" s="194"/>
      <c r="BA161" s="194"/>
      <c r="BB161" s="194"/>
      <c r="BC161" s="194"/>
      <c r="BD161" s="194"/>
      <c r="BE161" s="194"/>
      <c r="BF161" s="194"/>
      <c r="BG161" s="194"/>
      <c r="BH161" s="194"/>
      <c r="BI161" s="194"/>
      <c r="BJ161" s="195"/>
      <c r="BP161" s="132"/>
      <c r="BQ161" s="132"/>
      <c r="BR161" s="132"/>
      <c r="BS161" s="132"/>
      <c r="BT161" s="132"/>
      <c r="BU161" s="132"/>
      <c r="BV161" s="132"/>
      <c r="BW161" s="132"/>
    </row>
    <row r="162" spans="2:75" ht="8.1" customHeight="1" x14ac:dyDescent="0.25">
      <c r="P162" s="41" t="s">
        <v>124</v>
      </c>
      <c r="AV162" s="41" t="s">
        <v>209</v>
      </c>
      <c r="BP162" s="132"/>
      <c r="BQ162" s="132"/>
      <c r="BR162" s="132"/>
      <c r="BS162" s="132"/>
      <c r="BT162" s="132"/>
      <c r="BU162" s="132"/>
      <c r="BV162" s="132"/>
      <c r="BW162" s="132"/>
    </row>
    <row r="163" spans="2:75" x14ac:dyDescent="0.25">
      <c r="B163" s="192" t="s">
        <v>97</v>
      </c>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5"/>
    </row>
    <row r="164" spans="2:75" ht="5.25" customHeight="1" x14ac:dyDescent="0.25">
      <c r="B164" s="20"/>
      <c r="BJ164" s="26"/>
    </row>
    <row r="165" spans="2:75" x14ac:dyDescent="0.25">
      <c r="B165" s="20"/>
      <c r="C165" s="201" t="s">
        <v>96</v>
      </c>
      <c r="D165" s="201"/>
      <c r="E165" s="201"/>
      <c r="F165" s="201"/>
      <c r="G165" s="201"/>
      <c r="H165" s="201"/>
      <c r="I165" s="201"/>
      <c r="J165" s="201"/>
      <c r="K165" s="201"/>
      <c r="L165" s="201"/>
      <c r="M165" s="201"/>
      <c r="N165" s="201"/>
      <c r="O165" s="201"/>
      <c r="P165" s="201"/>
      <c r="Q165" s="201"/>
      <c r="R165" s="201"/>
      <c r="S165" s="201"/>
      <c r="T165" s="201"/>
      <c r="U165" s="201"/>
      <c r="V165" s="201"/>
      <c r="W165" s="201"/>
      <c r="X165" s="201"/>
      <c r="Y165" s="201"/>
      <c r="Z165" s="201"/>
      <c r="AA165" s="201"/>
      <c r="AB165" s="201"/>
      <c r="AC165" s="201"/>
      <c r="AD165" s="201"/>
      <c r="AE165" s="201"/>
      <c r="AF165" s="201"/>
      <c r="AG165" s="201"/>
      <c r="AH165" s="201"/>
      <c r="AI165" s="201"/>
      <c r="AJ165" s="201"/>
      <c r="AK165" s="201"/>
      <c r="AL165" s="201"/>
      <c r="AM165" s="201"/>
      <c r="AN165" s="201"/>
      <c r="AO165" s="201"/>
      <c r="AP165" s="201"/>
      <c r="AQ165" s="201"/>
      <c r="AR165" s="201"/>
      <c r="AS165" s="201"/>
      <c r="AT165" s="201"/>
      <c r="AU165" s="76" t="s">
        <v>5</v>
      </c>
      <c r="AV165" s="200">
        <f>ROUND(IF(AV161&lt;= 250000,0, IF(AND(AV161&gt; 250000,AV161&lt;= 500000),ABS(AV161- 250000)*0.05, IF(AND(AV161&gt; 500000,AV161&lt;= 1000000),12500+ ABS(AV161- 500000)*0.2, IF(AV161&gt; 1000000, 112500+ABS(AV161- 1000000)*0.3,0)))),0)</f>
        <v>0</v>
      </c>
      <c r="AW165" s="200"/>
      <c r="AX165" s="200"/>
      <c r="AY165" s="200"/>
      <c r="AZ165" s="200"/>
      <c r="BA165" s="200"/>
      <c r="BB165" s="200"/>
      <c r="BC165" s="200"/>
      <c r="BD165" s="200"/>
      <c r="BE165" s="200"/>
      <c r="BF165" s="200"/>
      <c r="BG165" s="200"/>
      <c r="BH165" s="200"/>
      <c r="BI165" s="200"/>
      <c r="BJ165" s="200"/>
    </row>
    <row r="166" spans="2:75" ht="5.25" customHeight="1" x14ac:dyDescent="0.25">
      <c r="B166" s="20"/>
      <c r="BJ166" s="26"/>
    </row>
    <row r="167" spans="2:75" x14ac:dyDescent="0.25">
      <c r="B167" s="20"/>
      <c r="C167" s="201" t="s">
        <v>202</v>
      </c>
      <c r="D167" s="201"/>
      <c r="E167" s="201"/>
      <c r="F167" s="201"/>
      <c r="G167" s="201"/>
      <c r="H167" s="201"/>
      <c r="I167" s="201"/>
      <c r="J167" s="201"/>
      <c r="K167" s="201"/>
      <c r="L167" s="201"/>
      <c r="M167" s="201"/>
      <c r="N167" s="201"/>
      <c r="O167" s="201"/>
      <c r="P167" s="201"/>
      <c r="Q167" s="201"/>
      <c r="R167" s="201"/>
      <c r="S167" s="201"/>
      <c r="T167" s="201"/>
      <c r="U167" s="201"/>
      <c r="V167" s="201"/>
      <c r="W167" s="201"/>
      <c r="X167" s="201"/>
      <c r="Y167" s="201"/>
      <c r="Z167" s="201"/>
      <c r="AA167" s="201"/>
      <c r="AB167" s="201"/>
      <c r="AC167" s="201"/>
      <c r="AD167" s="201"/>
      <c r="AE167" s="201"/>
      <c r="AF167" s="201"/>
      <c r="AG167" s="201"/>
      <c r="AH167" s="201"/>
      <c r="AI167" s="201"/>
      <c r="AJ167" s="201"/>
      <c r="AK167" s="201"/>
      <c r="AL167" s="201"/>
      <c r="AM167" s="201"/>
      <c r="AN167" s="201"/>
      <c r="AO167" s="201"/>
      <c r="AP167" s="201"/>
      <c r="AQ167" s="201"/>
      <c r="AR167" s="201"/>
      <c r="AS167" s="201"/>
      <c r="AT167" s="201"/>
      <c r="AU167" s="76" t="s">
        <v>5</v>
      </c>
      <c r="AV167" s="200">
        <f>IF(AND(AV161&lt;=500000, AV161&lt;&gt;0),IF(AV165&lt;=12500,AV165,12500),0)</f>
        <v>0</v>
      </c>
      <c r="AW167" s="200"/>
      <c r="AX167" s="200"/>
      <c r="AY167" s="200"/>
      <c r="AZ167" s="200"/>
      <c r="BA167" s="200"/>
      <c r="BB167" s="200"/>
      <c r="BC167" s="200"/>
      <c r="BD167" s="200"/>
      <c r="BE167" s="200"/>
      <c r="BF167" s="200"/>
      <c r="BG167" s="200"/>
      <c r="BH167" s="200"/>
      <c r="BI167" s="200"/>
      <c r="BJ167" s="200"/>
    </row>
    <row r="168" spans="2:75" ht="5.25" customHeight="1" x14ac:dyDescent="0.25">
      <c r="B168" s="20"/>
      <c r="BJ168" s="26"/>
    </row>
    <row r="169" spans="2:75" x14ac:dyDescent="0.25">
      <c r="B169" s="20"/>
      <c r="C169" s="201" t="s">
        <v>132</v>
      </c>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201"/>
      <c r="AE169" s="201"/>
      <c r="AF169" s="201"/>
      <c r="AG169" s="201"/>
      <c r="AH169" s="201"/>
      <c r="AI169" s="201"/>
      <c r="AJ169" s="201"/>
      <c r="AK169" s="201"/>
      <c r="AL169" s="201"/>
      <c r="AM169" s="201"/>
      <c r="AN169" s="201"/>
      <c r="AO169" s="201"/>
      <c r="AP169" s="201"/>
      <c r="AQ169" s="201"/>
      <c r="AR169" s="201"/>
      <c r="AS169" s="201"/>
      <c r="AT169" s="201"/>
      <c r="AU169" s="76" t="s">
        <v>5</v>
      </c>
      <c r="AV169" s="200">
        <f>IF((AV165&lt;AV167),0,ROUND(ABS(AV165-AV167),0))</f>
        <v>0</v>
      </c>
      <c r="AW169" s="200"/>
      <c r="AX169" s="200"/>
      <c r="AY169" s="200"/>
      <c r="AZ169" s="200"/>
      <c r="BA169" s="200"/>
      <c r="BB169" s="200"/>
      <c r="BC169" s="200"/>
      <c r="BD169" s="200"/>
      <c r="BE169" s="200"/>
      <c r="BF169" s="200"/>
      <c r="BG169" s="200"/>
      <c r="BH169" s="200"/>
      <c r="BI169" s="200"/>
      <c r="BJ169" s="200"/>
    </row>
    <row r="170" spans="2:75" ht="5.25" customHeight="1" x14ac:dyDescent="0.25">
      <c r="B170" s="20"/>
      <c r="BJ170" s="26"/>
    </row>
    <row r="171" spans="2:75" x14ac:dyDescent="0.25">
      <c r="B171" s="20"/>
      <c r="C171" s="201" t="s">
        <v>111</v>
      </c>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201"/>
      <c r="AE171" s="201"/>
      <c r="AF171" s="201"/>
      <c r="AG171" s="201"/>
      <c r="AH171" s="201"/>
      <c r="AI171" s="201"/>
      <c r="AJ171" s="201"/>
      <c r="AK171" s="201"/>
      <c r="AL171" s="201"/>
      <c r="AM171" s="201"/>
      <c r="AN171" s="201"/>
      <c r="AO171" s="201"/>
      <c r="AP171" s="201"/>
      <c r="AQ171" s="201"/>
      <c r="AR171" s="201"/>
      <c r="AS171" s="201"/>
      <c r="AT171" s="201"/>
      <c r="AU171" s="76" t="s">
        <v>5</v>
      </c>
      <c r="AV171" s="200">
        <f>IF(AV169&lt;&gt;0,ROUND(AV169*0.04,0),0)</f>
        <v>0</v>
      </c>
      <c r="AW171" s="200"/>
      <c r="AX171" s="200"/>
      <c r="AY171" s="200"/>
      <c r="AZ171" s="200"/>
      <c r="BA171" s="200"/>
      <c r="BB171" s="200"/>
      <c r="BC171" s="200"/>
      <c r="BD171" s="200"/>
      <c r="BE171" s="200"/>
      <c r="BF171" s="200"/>
      <c r="BG171" s="200"/>
      <c r="BH171" s="200"/>
      <c r="BI171" s="200"/>
      <c r="BJ171" s="200"/>
    </row>
    <row r="172" spans="2:75" ht="5.25" customHeight="1" x14ac:dyDescent="0.25">
      <c r="B172" s="20"/>
      <c r="BJ172" s="26"/>
    </row>
    <row r="173" spans="2:75" x14ac:dyDescent="0.25">
      <c r="B173" s="20"/>
      <c r="C173" s="201" t="s">
        <v>207</v>
      </c>
      <c r="D173" s="201"/>
      <c r="E173" s="201"/>
      <c r="F173" s="201"/>
      <c r="G173" s="201"/>
      <c r="H173" s="201"/>
      <c r="I173" s="201"/>
      <c r="J173" s="201"/>
      <c r="K173" s="201"/>
      <c r="L173" s="201"/>
      <c r="M173" s="201"/>
      <c r="N173" s="201"/>
      <c r="O173" s="201"/>
      <c r="P173" s="201"/>
      <c r="Q173" s="201"/>
      <c r="R173" s="201"/>
      <c r="S173" s="201"/>
      <c r="T173" s="201"/>
      <c r="U173" s="201"/>
      <c r="V173" s="201"/>
      <c r="W173" s="201"/>
      <c r="X173" s="201"/>
      <c r="Y173" s="201"/>
      <c r="Z173" s="201"/>
      <c r="AA173" s="201"/>
      <c r="AB173" s="201"/>
      <c r="AC173" s="201"/>
      <c r="AD173" s="201"/>
      <c r="AE173" s="201"/>
      <c r="AF173" s="201"/>
      <c r="AG173" s="201"/>
      <c r="AH173" s="201"/>
      <c r="AI173" s="201"/>
      <c r="AJ173" s="201"/>
      <c r="AK173" s="201"/>
      <c r="AL173" s="201"/>
      <c r="AM173" s="201"/>
      <c r="AN173" s="201"/>
      <c r="AO173" s="201"/>
      <c r="AP173" s="201"/>
      <c r="AQ173" s="201"/>
      <c r="AR173" s="201"/>
      <c r="AS173" s="201"/>
      <c r="AT173" s="201"/>
      <c r="AU173" s="76" t="s">
        <v>5</v>
      </c>
      <c r="AV173" s="200">
        <f>AV169+AV171</f>
        <v>0</v>
      </c>
      <c r="AW173" s="200"/>
      <c r="AX173" s="200"/>
      <c r="AY173" s="200"/>
      <c r="AZ173" s="200"/>
      <c r="BA173" s="200"/>
      <c r="BB173" s="200"/>
      <c r="BC173" s="200"/>
      <c r="BD173" s="200"/>
      <c r="BE173" s="200"/>
      <c r="BF173" s="200"/>
      <c r="BG173" s="200"/>
      <c r="BH173" s="200"/>
      <c r="BI173" s="200"/>
      <c r="BJ173" s="200"/>
    </row>
    <row r="174" spans="2:75" ht="5.25" customHeight="1" x14ac:dyDescent="0.25">
      <c r="B174" s="20"/>
      <c r="BJ174" s="26"/>
    </row>
    <row r="175" spans="2:75" x14ac:dyDescent="0.25">
      <c r="B175" s="20"/>
      <c r="C175" s="201" t="s">
        <v>203</v>
      </c>
      <c r="D175" s="201"/>
      <c r="E175" s="201"/>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201"/>
      <c r="AI175" s="201"/>
      <c r="AJ175" s="201"/>
      <c r="AK175" s="201"/>
      <c r="AL175" s="201"/>
      <c r="AM175" s="201"/>
      <c r="AN175" s="201"/>
      <c r="AO175" s="201"/>
      <c r="AP175" s="201"/>
      <c r="AQ175" s="201"/>
      <c r="AR175" s="201"/>
      <c r="AS175" s="201"/>
      <c r="AT175" s="201"/>
      <c r="AU175" s="76" t="s">
        <v>5</v>
      </c>
      <c r="AV175" s="200">
        <f>IF(ISNUMBER('Form 10E - Old Scheme'!AF79),'Form 10E - Old Scheme'!AF79,0)</f>
        <v>0</v>
      </c>
      <c r="AW175" s="200"/>
      <c r="AX175" s="200"/>
      <c r="AY175" s="200"/>
      <c r="AZ175" s="200"/>
      <c r="BA175" s="200"/>
      <c r="BB175" s="200"/>
      <c r="BC175" s="200"/>
      <c r="BD175" s="200"/>
      <c r="BE175" s="200"/>
      <c r="BF175" s="200"/>
      <c r="BG175" s="200"/>
      <c r="BH175" s="200"/>
      <c r="BI175" s="200"/>
      <c r="BJ175" s="200"/>
    </row>
    <row r="176" spans="2:75" ht="5.25" customHeight="1" x14ac:dyDescent="0.25">
      <c r="B176" s="20"/>
      <c r="BJ176" s="26"/>
    </row>
    <row r="177" spans="2:71" x14ac:dyDescent="0.25">
      <c r="B177" s="207" t="str">
        <f>IF(AV175&gt;AV173, "10. Refund (f - e) u/s 431  ",   "10. Balance Tax After Relief / Amount Payable  (e - f)  ")</f>
        <v xml:space="preserve">10. Balance Tax After Relief / Amount Payable  (e - f)  </v>
      </c>
      <c r="C177" s="201"/>
      <c r="D177" s="201"/>
      <c r="E177" s="201"/>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201"/>
      <c r="AI177" s="201"/>
      <c r="AJ177" s="201"/>
      <c r="AK177" s="201"/>
      <c r="AL177" s="201"/>
      <c r="AM177" s="201"/>
      <c r="AN177" s="201"/>
      <c r="AO177" s="201"/>
      <c r="AP177" s="201"/>
      <c r="AQ177" s="201"/>
      <c r="AR177" s="201"/>
      <c r="AS177" s="201"/>
      <c r="AT177" s="201"/>
      <c r="AU177" s="76" t="s">
        <v>5</v>
      </c>
      <c r="AV177" s="200" t="str">
        <f>IF(AV173&lt;&gt;AV175,MROUND(ABS(AV173-AV175),10),"NIL")</f>
        <v>NIL</v>
      </c>
      <c r="AW177" s="200"/>
      <c r="AX177" s="200"/>
      <c r="AY177" s="200"/>
      <c r="AZ177" s="200"/>
      <c r="BA177" s="200"/>
      <c r="BB177" s="200"/>
      <c r="BC177" s="200"/>
      <c r="BD177" s="200"/>
      <c r="BE177" s="200"/>
      <c r="BF177" s="200"/>
      <c r="BG177" s="200"/>
      <c r="BH177" s="200"/>
      <c r="BI177" s="200"/>
      <c r="BJ177" s="200"/>
      <c r="BR177" s="12" t="s">
        <v>118</v>
      </c>
      <c r="BS177" s="27"/>
    </row>
    <row r="178" spans="2:71" ht="6.9" customHeight="1" x14ac:dyDescent="0.25"/>
    <row r="179" spans="2:71" x14ac:dyDescent="0.25">
      <c r="B179" s="133" t="s">
        <v>204</v>
      </c>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c r="BI179" s="208"/>
      <c r="BJ179" s="209"/>
    </row>
    <row r="180" spans="2:71" ht="4.5" customHeight="1" x14ac:dyDescent="0.25">
      <c r="B180" s="20"/>
      <c r="BJ180" s="26"/>
    </row>
    <row r="181" spans="2:71" x14ac:dyDescent="0.25">
      <c r="B181" s="20"/>
      <c r="C181" s="198" t="s">
        <v>0</v>
      </c>
      <c r="D181" s="198"/>
      <c r="E181" s="198"/>
      <c r="F181" s="198"/>
      <c r="G181" s="198"/>
      <c r="H181" s="198"/>
      <c r="I181" s="198"/>
      <c r="J181" s="198"/>
      <c r="K181" s="198"/>
      <c r="L181" s="198"/>
      <c r="M181" s="198"/>
      <c r="N181" s="198"/>
      <c r="O181" s="198" t="s">
        <v>98</v>
      </c>
      <c r="P181" s="198"/>
      <c r="Q181" s="198"/>
      <c r="R181" s="198"/>
      <c r="S181" s="198"/>
      <c r="T181" s="198"/>
      <c r="U181" s="198"/>
      <c r="V181" s="198"/>
      <c r="W181" s="198" t="s">
        <v>0</v>
      </c>
      <c r="X181" s="198"/>
      <c r="Y181" s="198"/>
      <c r="Z181" s="198"/>
      <c r="AA181" s="198"/>
      <c r="AB181" s="198"/>
      <c r="AC181" s="198"/>
      <c r="AD181" s="198"/>
      <c r="AE181" s="198"/>
      <c r="AF181" s="198"/>
      <c r="AG181" s="198"/>
      <c r="AH181" s="198"/>
      <c r="AI181" s="198" t="s">
        <v>98</v>
      </c>
      <c r="AJ181" s="198"/>
      <c r="AK181" s="198"/>
      <c r="AL181" s="198"/>
      <c r="AM181" s="198"/>
      <c r="AN181" s="198"/>
      <c r="AO181" s="198"/>
      <c r="AP181" s="198"/>
      <c r="AQ181" s="198" t="s">
        <v>0</v>
      </c>
      <c r="AR181" s="198"/>
      <c r="AS181" s="198"/>
      <c r="AT181" s="198"/>
      <c r="AU181" s="198"/>
      <c r="AV181" s="198"/>
      <c r="AW181" s="198"/>
      <c r="AX181" s="198"/>
      <c r="AY181" s="198"/>
      <c r="AZ181" s="198"/>
      <c r="BA181" s="198"/>
      <c r="BB181" s="198"/>
      <c r="BC181" s="198" t="s">
        <v>98</v>
      </c>
      <c r="BD181" s="198"/>
      <c r="BE181" s="198"/>
      <c r="BF181" s="198"/>
      <c r="BG181" s="198"/>
      <c r="BH181" s="198"/>
      <c r="BI181" s="198"/>
      <c r="BJ181" s="198"/>
      <c r="BP181" s="41">
        <f>SUM(O182,O183,O184,O185,O186,AI182,AI183,AI184,AI185,BC184,BC185)</f>
        <v>0</v>
      </c>
      <c r="BQ181" s="41">
        <f>IF(AND(SIGN(AV175-AV173)&lt;&gt;1,ISNUMBER(AV177)),IF(SIGN(BP181-AV177)&lt;&gt;1,ABS(BP181-AV177),0),0)</f>
        <v>0</v>
      </c>
      <c r="BR181" s="41">
        <f>IF(ISNUMBER(BQ181),MROUND(BQ181/3,100),0)</f>
        <v>0</v>
      </c>
    </row>
    <row r="182" spans="2:71" x14ac:dyDescent="0.25">
      <c r="B182" s="20"/>
      <c r="C182" s="153" t="s">
        <v>28</v>
      </c>
      <c r="D182" s="188"/>
      <c r="E182" s="188"/>
      <c r="F182" s="188"/>
      <c r="G182" s="188"/>
      <c r="H182" s="188"/>
      <c r="I182" s="188"/>
      <c r="J182" s="188"/>
      <c r="K182" s="154">
        <v>2025</v>
      </c>
      <c r="L182" s="154"/>
      <c r="M182" s="154"/>
      <c r="N182" s="155"/>
      <c r="O182" s="158"/>
      <c r="P182" s="158"/>
      <c r="Q182" s="158"/>
      <c r="R182" s="158"/>
      <c r="S182" s="158"/>
      <c r="T182" s="158"/>
      <c r="U182" s="158"/>
      <c r="V182" s="159"/>
      <c r="W182" s="153" t="s">
        <v>33</v>
      </c>
      <c r="X182" s="188"/>
      <c r="Y182" s="188"/>
      <c r="Z182" s="188"/>
      <c r="AA182" s="188"/>
      <c r="AB182" s="188"/>
      <c r="AC182" s="188"/>
      <c r="AD182" s="188"/>
      <c r="AE182" s="154">
        <v>2025</v>
      </c>
      <c r="AF182" s="154"/>
      <c r="AG182" s="154"/>
      <c r="AH182" s="155"/>
      <c r="AI182" s="158"/>
      <c r="AJ182" s="158"/>
      <c r="AK182" s="158"/>
      <c r="AL182" s="158"/>
      <c r="AM182" s="158"/>
      <c r="AN182" s="158"/>
      <c r="AO182" s="158"/>
      <c r="AP182" s="159"/>
      <c r="AQ182" s="152" t="s">
        <v>26</v>
      </c>
      <c r="AR182" s="152"/>
      <c r="AS182" s="152"/>
      <c r="AT182" s="152"/>
      <c r="AU182" s="152"/>
      <c r="AV182" s="152"/>
      <c r="AW182" s="152"/>
      <c r="AX182" s="153"/>
      <c r="AY182" s="154">
        <v>2026</v>
      </c>
      <c r="AZ182" s="154"/>
      <c r="BA182" s="154"/>
      <c r="BB182" s="155"/>
      <c r="BC182" s="156">
        <f>BR181</f>
        <v>0</v>
      </c>
      <c r="BD182" s="156"/>
      <c r="BE182" s="156"/>
      <c r="BF182" s="156"/>
      <c r="BG182" s="156"/>
      <c r="BH182" s="156"/>
      <c r="BI182" s="156"/>
      <c r="BJ182" s="157"/>
    </row>
    <row r="183" spans="2:71" x14ac:dyDescent="0.25">
      <c r="B183" s="20"/>
      <c r="C183" s="153" t="s">
        <v>29</v>
      </c>
      <c r="D183" s="188"/>
      <c r="E183" s="188"/>
      <c r="F183" s="188"/>
      <c r="G183" s="188"/>
      <c r="H183" s="188"/>
      <c r="I183" s="188"/>
      <c r="J183" s="188"/>
      <c r="K183" s="154">
        <v>2025</v>
      </c>
      <c r="L183" s="154"/>
      <c r="M183" s="154"/>
      <c r="N183" s="155"/>
      <c r="O183" s="158"/>
      <c r="P183" s="158"/>
      <c r="Q183" s="158"/>
      <c r="R183" s="158"/>
      <c r="S183" s="158"/>
      <c r="T183" s="158"/>
      <c r="U183" s="158"/>
      <c r="V183" s="159"/>
      <c r="W183" s="153" t="s">
        <v>24</v>
      </c>
      <c r="X183" s="188"/>
      <c r="Y183" s="188"/>
      <c r="Z183" s="188"/>
      <c r="AA183" s="188"/>
      <c r="AB183" s="188"/>
      <c r="AC183" s="188"/>
      <c r="AD183" s="188"/>
      <c r="AE183" s="154">
        <v>2025</v>
      </c>
      <c r="AF183" s="154"/>
      <c r="AG183" s="154"/>
      <c r="AH183" s="155"/>
      <c r="AI183" s="158"/>
      <c r="AJ183" s="158"/>
      <c r="AK183" s="158"/>
      <c r="AL183" s="158"/>
      <c r="AM183" s="158"/>
      <c r="AN183" s="158"/>
      <c r="AO183" s="158"/>
      <c r="AP183" s="159"/>
      <c r="AQ183" s="152" t="s">
        <v>25</v>
      </c>
      <c r="AR183" s="152"/>
      <c r="AS183" s="152"/>
      <c r="AT183" s="152"/>
      <c r="AU183" s="152"/>
      <c r="AV183" s="152"/>
      <c r="AW183" s="152"/>
      <c r="AX183" s="153"/>
      <c r="AY183" s="154">
        <v>2026</v>
      </c>
      <c r="AZ183" s="154"/>
      <c r="BA183" s="154"/>
      <c r="BB183" s="155"/>
      <c r="BC183" s="156">
        <f>IF(AND(ISNUMBER(AV177),ISNUMBER(BQ181)),IF(AND(SIGN(AV175-AV173)=-1,SIGN(BP181-AV177)&lt;&gt;1),ROUND(ABS(AV177-SUM(O182:V186,AI182:AP186,BC182,BC184:BJ185)),0),0),0)</f>
        <v>0</v>
      </c>
      <c r="BD183" s="156"/>
      <c r="BE183" s="156"/>
      <c r="BF183" s="156"/>
      <c r="BG183" s="156"/>
      <c r="BH183" s="156"/>
      <c r="BI183" s="156"/>
      <c r="BJ183" s="157"/>
      <c r="BQ183" s="44"/>
    </row>
    <row r="184" spans="2:71" x14ac:dyDescent="0.25">
      <c r="B184" s="20"/>
      <c r="C184" s="153" t="s">
        <v>30</v>
      </c>
      <c r="D184" s="188"/>
      <c r="E184" s="188"/>
      <c r="F184" s="188"/>
      <c r="G184" s="188"/>
      <c r="H184" s="188"/>
      <c r="I184" s="188"/>
      <c r="J184" s="188"/>
      <c r="K184" s="154">
        <v>2025</v>
      </c>
      <c r="L184" s="154"/>
      <c r="M184" s="154"/>
      <c r="N184" s="155"/>
      <c r="O184" s="158"/>
      <c r="P184" s="158"/>
      <c r="Q184" s="158"/>
      <c r="R184" s="158"/>
      <c r="S184" s="158"/>
      <c r="T184" s="158"/>
      <c r="U184" s="158"/>
      <c r="V184" s="159"/>
      <c r="W184" s="153" t="s">
        <v>34</v>
      </c>
      <c r="X184" s="188"/>
      <c r="Y184" s="188"/>
      <c r="Z184" s="188"/>
      <c r="AA184" s="188"/>
      <c r="AB184" s="188"/>
      <c r="AC184" s="188"/>
      <c r="AD184" s="188"/>
      <c r="AE184" s="154">
        <v>2025</v>
      </c>
      <c r="AF184" s="154"/>
      <c r="AG184" s="154"/>
      <c r="AH184" s="155"/>
      <c r="AI184" s="158"/>
      <c r="AJ184" s="158"/>
      <c r="AK184" s="158"/>
      <c r="AL184" s="158"/>
      <c r="AM184" s="158"/>
      <c r="AN184" s="158"/>
      <c r="AO184" s="158"/>
      <c r="AP184" s="159"/>
      <c r="AQ184" s="189" t="s">
        <v>119</v>
      </c>
      <c r="AR184" s="190"/>
      <c r="AS184" s="190"/>
      <c r="AT184" s="190"/>
      <c r="AU184" s="190"/>
      <c r="AV184" s="190"/>
      <c r="AW184" s="190"/>
      <c r="AX184" s="190"/>
      <c r="AY184" s="190"/>
      <c r="AZ184" s="190"/>
      <c r="BA184" s="190"/>
      <c r="BB184" s="191"/>
      <c r="BC184" s="158"/>
      <c r="BD184" s="158"/>
      <c r="BE184" s="158"/>
      <c r="BF184" s="158"/>
      <c r="BG184" s="158"/>
      <c r="BH184" s="158"/>
      <c r="BI184" s="158"/>
      <c r="BJ184" s="159"/>
    </row>
    <row r="185" spans="2:71" x14ac:dyDescent="0.25">
      <c r="B185" s="20"/>
      <c r="C185" s="153" t="s">
        <v>31</v>
      </c>
      <c r="D185" s="188"/>
      <c r="E185" s="188"/>
      <c r="F185" s="188"/>
      <c r="G185" s="188"/>
      <c r="H185" s="188"/>
      <c r="I185" s="188"/>
      <c r="J185" s="188"/>
      <c r="K185" s="154">
        <v>2025</v>
      </c>
      <c r="L185" s="154"/>
      <c r="M185" s="154"/>
      <c r="N185" s="155"/>
      <c r="O185" s="158"/>
      <c r="P185" s="158"/>
      <c r="Q185" s="158"/>
      <c r="R185" s="158"/>
      <c r="S185" s="158"/>
      <c r="T185" s="158"/>
      <c r="U185" s="158"/>
      <c r="V185" s="159"/>
      <c r="W185" s="153" t="s">
        <v>35</v>
      </c>
      <c r="X185" s="188"/>
      <c r="Y185" s="188"/>
      <c r="Z185" s="188"/>
      <c r="AA185" s="188"/>
      <c r="AB185" s="188"/>
      <c r="AC185" s="188"/>
      <c r="AD185" s="188"/>
      <c r="AE185" s="154">
        <v>2025</v>
      </c>
      <c r="AF185" s="154"/>
      <c r="AG185" s="154"/>
      <c r="AH185" s="155"/>
      <c r="AI185" s="158"/>
      <c r="AJ185" s="158"/>
      <c r="AK185" s="158"/>
      <c r="AL185" s="158"/>
      <c r="AM185" s="158"/>
      <c r="AN185" s="158"/>
      <c r="AO185" s="158"/>
      <c r="AP185" s="159"/>
      <c r="AQ185" s="189" t="s">
        <v>119</v>
      </c>
      <c r="AR185" s="190"/>
      <c r="AS185" s="190"/>
      <c r="AT185" s="190"/>
      <c r="AU185" s="190"/>
      <c r="AV185" s="190"/>
      <c r="AW185" s="190"/>
      <c r="AX185" s="190"/>
      <c r="AY185" s="190"/>
      <c r="AZ185" s="190"/>
      <c r="BA185" s="190"/>
      <c r="BB185" s="191"/>
      <c r="BC185" s="158"/>
      <c r="BD185" s="158"/>
      <c r="BE185" s="158"/>
      <c r="BF185" s="158"/>
      <c r="BG185" s="158"/>
      <c r="BH185" s="158"/>
      <c r="BI185" s="158"/>
      <c r="BJ185" s="159"/>
    </row>
    <row r="186" spans="2:71" x14ac:dyDescent="0.25">
      <c r="B186" s="20"/>
      <c r="C186" s="153" t="s">
        <v>32</v>
      </c>
      <c r="D186" s="188"/>
      <c r="E186" s="188"/>
      <c r="F186" s="188"/>
      <c r="G186" s="188"/>
      <c r="H186" s="188"/>
      <c r="I186" s="188"/>
      <c r="J186" s="188"/>
      <c r="K186" s="154">
        <v>2025</v>
      </c>
      <c r="L186" s="154"/>
      <c r="M186" s="154"/>
      <c r="N186" s="155"/>
      <c r="O186" s="158"/>
      <c r="P186" s="158"/>
      <c r="Q186" s="158"/>
      <c r="R186" s="158"/>
      <c r="S186" s="158"/>
      <c r="T186" s="158"/>
      <c r="U186" s="158"/>
      <c r="V186" s="159"/>
      <c r="W186" s="153" t="s">
        <v>27</v>
      </c>
      <c r="X186" s="188"/>
      <c r="Y186" s="188"/>
      <c r="Z186" s="188"/>
      <c r="AA186" s="188"/>
      <c r="AB186" s="188"/>
      <c r="AC186" s="188"/>
      <c r="AD186" s="188"/>
      <c r="AE186" s="154">
        <v>2025</v>
      </c>
      <c r="AF186" s="154"/>
      <c r="AG186" s="154"/>
      <c r="AH186" s="155"/>
      <c r="AI186" s="156">
        <f>BR181</f>
        <v>0</v>
      </c>
      <c r="AJ186" s="156"/>
      <c r="AK186" s="156"/>
      <c r="AL186" s="156"/>
      <c r="AM186" s="156"/>
      <c r="AN186" s="156"/>
      <c r="AO186" s="156"/>
      <c r="AP186" s="157"/>
      <c r="AQ186" s="145" t="s">
        <v>4</v>
      </c>
      <c r="AR186" s="146"/>
      <c r="AS186" s="146"/>
      <c r="AT186" s="146"/>
      <c r="AU186" s="146"/>
      <c r="AV186" s="146"/>
      <c r="AW186" s="146"/>
      <c r="AX186" s="146"/>
      <c r="AY186" s="196"/>
      <c r="AZ186" s="196"/>
      <c r="BA186" s="196"/>
      <c r="BB186" s="197"/>
      <c r="BC186" s="156">
        <f>SUM(O182:V186,AI182:AP186,BC182:BJ185)</f>
        <v>0</v>
      </c>
      <c r="BD186" s="156"/>
      <c r="BE186" s="156"/>
      <c r="BF186" s="156"/>
      <c r="BG186" s="156"/>
      <c r="BH186" s="156"/>
      <c r="BI186" s="156"/>
      <c r="BJ186" s="157"/>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0"/>
    </row>
    <row r="188" spans="2:71" x14ac:dyDescent="0.25">
      <c r="B188" s="192"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25"/>
      <c r="AV188" s="193" t="str">
        <f>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194"/>
      <c r="AX188" s="194"/>
      <c r="AY188" s="194"/>
      <c r="AZ188" s="194"/>
      <c r="BA188" s="194"/>
      <c r="BB188" s="194"/>
      <c r="BC188" s="194"/>
      <c r="BD188" s="194"/>
      <c r="BE188" s="194"/>
      <c r="BF188" s="194"/>
      <c r="BG188" s="194"/>
      <c r="BH188" s="194"/>
      <c r="BI188" s="194"/>
      <c r="BJ188" s="195"/>
    </row>
    <row r="189" spans="2:71" ht="6.9" customHeight="1" x14ac:dyDescent="0.25"/>
    <row r="190" spans="2:71" x14ac:dyDescent="0.25">
      <c r="B190" s="145" t="s">
        <v>99</v>
      </c>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7"/>
    </row>
    <row r="191" spans="2:71" ht="8.1" customHeight="1" x14ac:dyDescent="0.25">
      <c r="B191" s="20"/>
      <c r="BJ191" s="26"/>
    </row>
    <row r="192" spans="2:71" x14ac:dyDescent="0.25">
      <c r="B192" s="20"/>
      <c r="C192" s="148" t="s">
        <v>53</v>
      </c>
      <c r="D192" s="148"/>
      <c r="E192" s="149" t="str">
        <f>PROPER(L5)</f>
        <v xml:space="preserve"> </v>
      </c>
      <c r="F192" s="150"/>
      <c r="G192" s="150"/>
      <c r="H192" s="150"/>
      <c r="I192" s="150"/>
      <c r="J192" s="150"/>
      <c r="K192" s="150"/>
      <c r="L192" s="150"/>
      <c r="M192" s="150"/>
      <c r="N192" s="150"/>
      <c r="O192" s="150"/>
      <c r="P192" s="150"/>
      <c r="Q192" s="150"/>
      <c r="R192" s="150"/>
      <c r="S192" s="150"/>
      <c r="T192" s="150"/>
      <c r="U192" s="150"/>
      <c r="V192" s="150"/>
      <c r="W192" s="150"/>
      <c r="X192" s="150"/>
      <c r="Y192" s="150"/>
      <c r="Z192" s="148" t="s">
        <v>100</v>
      </c>
      <c r="AA192" s="148"/>
      <c r="AB192" s="148"/>
      <c r="AC192" s="148"/>
      <c r="AD192" s="148"/>
      <c r="AE192" s="148"/>
      <c r="AF192" s="148"/>
      <c r="AG192" s="148"/>
      <c r="AH192" s="148"/>
      <c r="AI192" s="149" t="str">
        <f>IF(ISBLANK('Basic Information'!L8)," ",PROPER('Basic Information'!L8))</f>
        <v xml:space="preserve"> </v>
      </c>
      <c r="AJ192" s="149"/>
      <c r="AK192" s="149"/>
      <c r="AL192" s="149"/>
      <c r="AM192" s="149"/>
      <c r="AN192" s="149"/>
      <c r="AO192" s="149"/>
      <c r="AP192" s="149"/>
      <c r="AQ192" s="149"/>
      <c r="AR192" s="149"/>
      <c r="AS192" s="149"/>
      <c r="AT192" s="149"/>
      <c r="AU192" s="149"/>
      <c r="AV192" s="149"/>
      <c r="AW192" s="149"/>
      <c r="AX192" s="149"/>
      <c r="AY192" s="149"/>
      <c r="AZ192" s="148" t="s">
        <v>101</v>
      </c>
      <c r="BA192" s="148"/>
      <c r="BB192" s="148"/>
      <c r="BC192" s="148"/>
      <c r="BD192" s="148"/>
      <c r="BE192" s="148"/>
      <c r="BF192" s="148"/>
      <c r="BG192" s="148"/>
      <c r="BH192" s="148"/>
      <c r="BI192" s="148"/>
      <c r="BJ192" s="151"/>
    </row>
    <row r="193" spans="2:62" x14ac:dyDescent="0.25">
      <c r="B193" s="20"/>
      <c r="C193" s="148" t="s">
        <v>102</v>
      </c>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26"/>
    </row>
    <row r="194" spans="2:62" x14ac:dyDescent="0.25">
      <c r="B194" s="20"/>
      <c r="C194" s="148" t="s">
        <v>234</v>
      </c>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26"/>
    </row>
    <row r="195" spans="2:62" x14ac:dyDescent="0.25">
      <c r="B195" s="20"/>
      <c r="C195" s="148" t="s">
        <v>104</v>
      </c>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9" t="str">
        <f>UPPER(AN5)</f>
        <v xml:space="preserve"> </v>
      </c>
      <c r="Z195" s="149"/>
      <c r="AA195" s="149"/>
      <c r="AB195" s="149"/>
      <c r="AC195" s="149"/>
      <c r="AD195" s="149"/>
      <c r="AE195" s="149"/>
      <c r="AF195" s="149"/>
      <c r="AG195" s="148"/>
      <c r="AH195" s="12" t="s">
        <v>103</v>
      </c>
      <c r="BJ195" s="26"/>
    </row>
    <row r="196" spans="2:62" ht="6" customHeight="1" x14ac:dyDescent="0.25">
      <c r="B196" s="20"/>
      <c r="BJ196" s="26"/>
    </row>
    <row r="197" spans="2:62" ht="6" customHeight="1" x14ac:dyDescent="0.25">
      <c r="B197" s="20"/>
      <c r="BJ197" s="26"/>
    </row>
    <row r="198" spans="2:62" x14ac:dyDescent="0.25">
      <c r="B198" s="20"/>
      <c r="AF198" s="148" t="s">
        <v>14</v>
      </c>
      <c r="AG198" s="148"/>
      <c r="AH198" s="148"/>
      <c r="AI198" s="148"/>
      <c r="AJ198" s="148"/>
      <c r="AK198" s="148"/>
      <c r="AL198" s="148"/>
      <c r="AM198" s="148"/>
      <c r="AN198" s="27" t="s">
        <v>5</v>
      </c>
      <c r="BJ198" s="26"/>
    </row>
    <row r="199" spans="2:62" ht="8.1" customHeight="1" x14ac:dyDescent="0.25">
      <c r="B199" s="20"/>
      <c r="BJ199" s="26"/>
    </row>
    <row r="200" spans="2:62" ht="14.4" x14ac:dyDescent="0.25">
      <c r="B200" s="187" t="s">
        <v>11</v>
      </c>
      <c r="C200" s="148"/>
      <c r="D200" s="148"/>
      <c r="E200" s="148"/>
      <c r="F200" s="148"/>
      <c r="G200" s="27" t="s">
        <v>5</v>
      </c>
      <c r="H200" s="150" t="str">
        <f>IF(ISBLANK('Basic Information'!H29)," ",PROPER('Basic Information'!H29))</f>
        <v xml:space="preserve"> </v>
      </c>
      <c r="I200" s="150"/>
      <c r="J200" s="150"/>
      <c r="K200" s="150"/>
      <c r="L200" s="150"/>
      <c r="M200" s="150"/>
      <c r="N200" s="150"/>
      <c r="O200" s="150"/>
      <c r="P200" s="150"/>
      <c r="Q200" s="150"/>
      <c r="R200" s="150"/>
      <c r="S200" s="150"/>
      <c r="T200" s="321"/>
      <c r="U200" s="321"/>
      <c r="V200" s="321"/>
      <c r="W200" s="321"/>
      <c r="X200" s="321"/>
      <c r="AF200" s="148" t="s">
        <v>13</v>
      </c>
      <c r="AG200" s="148"/>
      <c r="AH200" s="148"/>
      <c r="AI200" s="148"/>
      <c r="AJ200" s="148"/>
      <c r="AK200" s="148"/>
      <c r="AL200" s="148"/>
      <c r="AM200" s="148"/>
      <c r="AN200" s="27" t="s">
        <v>5</v>
      </c>
      <c r="AO200" s="150" t="str">
        <f>PROPER(L5)</f>
        <v xml:space="preserve"> </v>
      </c>
      <c r="AP200" s="150"/>
      <c r="AQ200" s="150"/>
      <c r="AR200" s="150"/>
      <c r="AS200" s="150"/>
      <c r="AT200" s="150"/>
      <c r="AU200" s="150"/>
      <c r="AV200" s="150"/>
      <c r="AW200" s="150"/>
      <c r="AX200" s="150"/>
      <c r="AY200" s="150"/>
      <c r="AZ200" s="150"/>
      <c r="BA200" s="150"/>
      <c r="BB200" s="150"/>
      <c r="BC200" s="150"/>
      <c r="BD200" s="150"/>
      <c r="BE200" s="150"/>
      <c r="BF200" s="150"/>
      <c r="BG200" s="150"/>
      <c r="BH200" s="150"/>
      <c r="BI200" s="150"/>
      <c r="BJ200" s="26"/>
    </row>
    <row r="201" spans="2:62" ht="6.9" customHeight="1" x14ac:dyDescent="0.25">
      <c r="B201" s="20"/>
      <c r="BJ201" s="26"/>
    </row>
    <row r="202" spans="2:62" x14ac:dyDescent="0.25">
      <c r="B202" s="187" t="s">
        <v>12</v>
      </c>
      <c r="C202" s="148"/>
      <c r="D202" s="148"/>
      <c r="E202" s="148"/>
      <c r="F202" s="148"/>
      <c r="G202" s="27" t="s">
        <v>5</v>
      </c>
      <c r="H202" s="150" t="str">
        <f>IF(ISBLANK('Basic Information'!H31)," ",PROPER('Basic Information'!H31))</f>
        <v xml:space="preserve"> </v>
      </c>
      <c r="I202" s="150"/>
      <c r="J202" s="150"/>
      <c r="K202" s="150"/>
      <c r="L202" s="150"/>
      <c r="M202" s="150"/>
      <c r="N202" s="150"/>
      <c r="O202" s="150"/>
      <c r="P202" s="150"/>
      <c r="Q202" s="150"/>
      <c r="R202" s="150"/>
      <c r="S202" s="150"/>
      <c r="AF202" s="148" t="s">
        <v>15</v>
      </c>
      <c r="AG202" s="148"/>
      <c r="AH202" s="148"/>
      <c r="AI202" s="148"/>
      <c r="AJ202" s="148"/>
      <c r="AK202" s="148"/>
      <c r="AL202" s="148"/>
      <c r="AM202" s="148"/>
      <c r="AN202" s="27" t="s">
        <v>5</v>
      </c>
      <c r="AO202" s="150" t="str">
        <f>PROPER(L7)</f>
        <v xml:space="preserve"> </v>
      </c>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26"/>
    </row>
    <row r="203" spans="2:62" ht="6" customHeight="1" x14ac:dyDescent="0.25">
      <c r="B203" s="20"/>
      <c r="BJ203" s="26"/>
    </row>
    <row r="204" spans="2:62" ht="15" customHeight="1" x14ac:dyDescent="0.25">
      <c r="B204" s="20"/>
      <c r="X204" s="148" t="s">
        <v>6</v>
      </c>
      <c r="Y204" s="148"/>
      <c r="Z204" s="148"/>
      <c r="AA204" s="148"/>
      <c r="AB204" s="148"/>
      <c r="AC204" s="148"/>
      <c r="AD204" s="148"/>
      <c r="AE204" s="148"/>
      <c r="AF204" s="148"/>
      <c r="AG204" s="148"/>
      <c r="AH204" s="148"/>
      <c r="AI204" s="148"/>
      <c r="AJ204" s="148"/>
      <c r="BJ204" s="26"/>
    </row>
    <row r="205" spans="2:62" x14ac:dyDescent="0.25">
      <c r="B205" s="20"/>
      <c r="BJ205" s="26"/>
    </row>
    <row r="206" spans="2:62" ht="8.1" customHeight="1" x14ac:dyDescent="0.25">
      <c r="B206" s="20"/>
      <c r="AO206" s="107" t="str">
        <f>IF(ISTEXT('Basic Information'!AG27),PROPER('Basic Information'!AG27),"")</f>
        <v/>
      </c>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26"/>
    </row>
    <row r="207" spans="2:62" ht="10.5" customHeight="1" x14ac:dyDescent="0.25">
      <c r="B207" s="20"/>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26"/>
    </row>
    <row r="208" spans="2:62" ht="8.1" customHeight="1" x14ac:dyDescent="0.25">
      <c r="B208" s="20"/>
      <c r="AO208" s="308" t="str">
        <f>IF(ISBLANK('Basic Information'!V3),"",PROPER('Basic Information'!V3))</f>
        <v/>
      </c>
      <c r="AP208" s="308"/>
      <c r="AQ208" s="308"/>
      <c r="AR208" s="308"/>
      <c r="AS208" s="308"/>
      <c r="AT208" s="308"/>
      <c r="AU208" s="308"/>
      <c r="AV208" s="308"/>
      <c r="AW208" s="308"/>
      <c r="AX208" s="308"/>
      <c r="AY208" s="308"/>
      <c r="AZ208" s="308"/>
      <c r="BA208" s="308"/>
      <c r="BB208" s="308"/>
      <c r="BC208" s="308"/>
      <c r="BD208" s="308"/>
      <c r="BE208" s="308"/>
      <c r="BF208" s="308"/>
      <c r="BG208" s="308"/>
      <c r="BH208" s="308"/>
      <c r="BI208" s="308"/>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309"/>
      <c r="AP209" s="309"/>
      <c r="AQ209" s="309"/>
      <c r="AR209" s="309"/>
      <c r="AS209" s="309"/>
      <c r="AT209" s="309"/>
      <c r="AU209" s="309"/>
      <c r="AV209" s="309"/>
      <c r="AW209" s="309"/>
      <c r="AX209" s="309"/>
      <c r="AY209" s="309"/>
      <c r="AZ209" s="309"/>
      <c r="BA209" s="309"/>
      <c r="BB209" s="309"/>
      <c r="BC209" s="309"/>
      <c r="BD209" s="309"/>
      <c r="BE209" s="309"/>
      <c r="BF209" s="309"/>
      <c r="BG209" s="309"/>
      <c r="BH209" s="309"/>
      <c r="BI209" s="309"/>
      <c r="BJ209" s="40"/>
    </row>
  </sheetData>
  <sheetProtection algorithmName="SHA-512" hashValue="ml1Buf5h/CitTF2ijKNYxSc7g1ezY36RmooREIJEk+1p0daNTMvM3S//8OajD/VyAhNjXjPk0+AwCK7B9E9rgQ==" saltValue="sbLVDTszyvH5jMYIPf/SlA==" spinCount="100000" sheet="1" objects="1" scenarios="1" selectLockedCells="1"/>
  <mergeCells count="527">
    <mergeCell ref="C151:AH151"/>
    <mergeCell ref="AJ151:AS151"/>
    <mergeCell ref="AT151:AU151"/>
    <mergeCell ref="AV151:BJ151"/>
    <mergeCell ref="C153:AH153"/>
    <mergeCell ref="AJ153:AS153"/>
    <mergeCell ref="AT153:AU153"/>
    <mergeCell ref="AV153:BJ153"/>
    <mergeCell ref="BP150:BW152"/>
    <mergeCell ref="BP153:BW154"/>
    <mergeCell ref="AJ13:AO13"/>
    <mergeCell ref="AJ14:AO14"/>
    <mergeCell ref="AJ15:AO15"/>
    <mergeCell ref="AJ16:AO16"/>
    <mergeCell ref="AJ17:AO17"/>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Q18:V18"/>
    <mergeCell ref="Q21:V21"/>
    <mergeCell ref="Q22:V22"/>
    <mergeCell ref="Q23:V23"/>
    <mergeCell ref="BE22:BJ22"/>
    <mergeCell ref="AZ18:BD18"/>
    <mergeCell ref="B52:AT52"/>
    <mergeCell ref="AV48:BJ48"/>
    <mergeCell ref="AV40:BJ40"/>
    <mergeCell ref="AV42:BJ42"/>
    <mergeCell ref="BA30:BJ30"/>
    <mergeCell ref="BE15:BJ15"/>
    <mergeCell ref="AP16:AT16"/>
    <mergeCell ref="AU16:AY16"/>
    <mergeCell ref="AZ16:BD16"/>
    <mergeCell ref="BE16:BJ16"/>
    <mergeCell ref="AP17:AT17"/>
    <mergeCell ref="AU17:AY17"/>
    <mergeCell ref="AZ17:BD17"/>
    <mergeCell ref="BE17:BJ17"/>
    <mergeCell ref="B20:G20"/>
    <mergeCell ref="H20:J20"/>
    <mergeCell ref="BA26:BJ26"/>
    <mergeCell ref="K22:P22"/>
    <mergeCell ref="K23:P23"/>
    <mergeCell ref="K18:P18"/>
    <mergeCell ref="K19:P19"/>
    <mergeCell ref="K20:P20"/>
    <mergeCell ref="AC18:AI18"/>
    <mergeCell ref="AC19:AI19"/>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J137:AS137"/>
    <mergeCell ref="AT139:AU139"/>
    <mergeCell ref="AT137:AU137"/>
    <mergeCell ref="C143:M143"/>
    <mergeCell ref="N143:V143"/>
    <mergeCell ref="C141:M141"/>
    <mergeCell ref="N141:V141"/>
    <mergeCell ref="C139:AH139"/>
    <mergeCell ref="AT143:AU143"/>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W18:AB18"/>
    <mergeCell ref="W19:AB19"/>
    <mergeCell ref="AC21:AI21"/>
    <mergeCell ref="AC22:AI22"/>
    <mergeCell ref="AC23:AI23"/>
    <mergeCell ref="AC24:AI24"/>
    <mergeCell ref="W20:AB20"/>
    <mergeCell ref="AV66:BJ66"/>
    <mergeCell ref="C64:AT64"/>
    <mergeCell ref="C66:AT66"/>
    <mergeCell ref="AV52:BJ52"/>
    <mergeCell ref="C58:AT58"/>
    <mergeCell ref="B62:AT62"/>
    <mergeCell ref="B54:AT54"/>
    <mergeCell ref="AV58:BJ58"/>
    <mergeCell ref="C60:AT60"/>
    <mergeCell ref="AV60:BJ60"/>
    <mergeCell ref="AS56:AY56"/>
    <mergeCell ref="C56:AR56"/>
    <mergeCell ref="W21:AB21"/>
    <mergeCell ref="AP23:AT23"/>
    <mergeCell ref="AU23:AY23"/>
    <mergeCell ref="AZ23:BD23"/>
    <mergeCell ref="BE23:BJ23"/>
    <mergeCell ref="W12:AB12"/>
    <mergeCell ref="W13:AB13"/>
    <mergeCell ref="W14:AB14"/>
    <mergeCell ref="AC16:AI16"/>
    <mergeCell ref="AC17:AI17"/>
    <mergeCell ref="W15:AB15"/>
    <mergeCell ref="W16:AB16"/>
    <mergeCell ref="W17:AB17"/>
    <mergeCell ref="AC13:AI13"/>
    <mergeCell ref="AC14:AI14"/>
    <mergeCell ref="AC15:AI15"/>
    <mergeCell ref="AJ18:AO18"/>
    <mergeCell ref="AJ19:AO19"/>
    <mergeCell ref="AJ20:AO20"/>
    <mergeCell ref="AJ21:AO21"/>
    <mergeCell ref="BE18:BJ18"/>
    <mergeCell ref="AZ19:BD19"/>
    <mergeCell ref="BE19:BJ19"/>
    <mergeCell ref="AZ24:BD24"/>
    <mergeCell ref="BE24:BJ24"/>
    <mergeCell ref="AZ20:BD20"/>
    <mergeCell ref="BE20:BJ20"/>
    <mergeCell ref="AZ21:BD21"/>
    <mergeCell ref="BE21:BJ21"/>
    <mergeCell ref="AZ22:BD22"/>
    <mergeCell ref="AP18:AT18"/>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K11:P11"/>
    <mergeCell ref="K12:P12"/>
    <mergeCell ref="W11:AB11"/>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K15:P15"/>
    <mergeCell ref="K16:P16"/>
    <mergeCell ref="K17:P17"/>
    <mergeCell ref="Q15:V15"/>
    <mergeCell ref="AQ34:BA34"/>
    <mergeCell ref="BC34:BJ34"/>
    <mergeCell ref="C34:L34"/>
    <mergeCell ref="W34:AF34"/>
    <mergeCell ref="AH34:AO34"/>
    <mergeCell ref="C30:T30"/>
    <mergeCell ref="V30:AE30"/>
    <mergeCell ref="Q24:V24"/>
    <mergeCell ref="W24:AB24"/>
    <mergeCell ref="BA28:BJ28"/>
    <mergeCell ref="K24:P24"/>
    <mergeCell ref="AP24:AT24"/>
    <mergeCell ref="H23:J23"/>
    <mergeCell ref="B21:G21"/>
    <mergeCell ref="C48:AT48"/>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C68:AT68"/>
    <mergeCell ref="N34:U34"/>
    <mergeCell ref="C70:AT70"/>
    <mergeCell ref="B19:G19"/>
    <mergeCell ref="H19:J19"/>
    <mergeCell ref="Q19:V19"/>
    <mergeCell ref="Q20:V20"/>
    <mergeCell ref="AJ22:AO22"/>
    <mergeCell ref="AJ23:AO23"/>
    <mergeCell ref="AJ24:AO24"/>
    <mergeCell ref="AH30:AY30"/>
    <mergeCell ref="AV64:BJ64"/>
    <mergeCell ref="W22:AB22"/>
    <mergeCell ref="W23:AB23"/>
    <mergeCell ref="AF28:AG28"/>
    <mergeCell ref="C26:T26"/>
    <mergeCell ref="V26:AE26"/>
    <mergeCell ref="AF26:AG26"/>
    <mergeCell ref="AH26:AY26"/>
    <mergeCell ref="H21:J21"/>
    <mergeCell ref="B46:AT46"/>
    <mergeCell ref="AV44:BJ44"/>
    <mergeCell ref="B44:AT44"/>
    <mergeCell ref="B23:G23"/>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68357E2A-ED57-4107-8D1F-148661FCC4A6}">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zoomScaleNormal="10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345" t="s">
        <v>74</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58"/>
      <c r="AP2" s="58"/>
      <c r="AR2" s="289" t="s">
        <v>142</v>
      </c>
      <c r="AS2" s="289"/>
      <c r="AT2" s="289"/>
      <c r="AU2" s="289"/>
      <c r="AV2" s="289"/>
      <c r="AW2" s="289"/>
    </row>
    <row r="3" spans="2:50" ht="15" customHeight="1" x14ac:dyDescent="0.3">
      <c r="B3" s="346" t="s">
        <v>39</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60"/>
      <c r="AP3" s="60"/>
      <c r="AR3" s="289"/>
      <c r="AS3" s="289"/>
      <c r="AT3" s="289"/>
      <c r="AU3" s="289"/>
      <c r="AV3" s="289"/>
      <c r="AW3" s="289"/>
    </row>
    <row r="4" spans="2:50" ht="15" customHeight="1" x14ac:dyDescent="0.3">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R4" s="115"/>
      <c r="AS4" s="115"/>
      <c r="AT4" s="115"/>
      <c r="AU4" s="115"/>
      <c r="AV4" s="115"/>
      <c r="AW4" s="115"/>
    </row>
    <row r="5" spans="2:50" ht="15" customHeight="1" x14ac:dyDescent="0.3">
      <c r="B5" s="346" t="s">
        <v>210</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59"/>
      <c r="AP5" s="59"/>
      <c r="AR5" s="337" t="s">
        <v>20</v>
      </c>
      <c r="AS5" s="337"/>
      <c r="AT5" s="337"/>
      <c r="AU5" s="61"/>
    </row>
    <row r="6" spans="2:50" ht="17.399999999999999" x14ac:dyDescent="0.3">
      <c r="B6" s="59"/>
      <c r="C6" s="60"/>
      <c r="D6" s="346" t="s">
        <v>229</v>
      </c>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4"/>
      <c r="AP6" s="14"/>
      <c r="AR6" s="337"/>
      <c r="AS6" s="337"/>
      <c r="AT6" s="337"/>
    </row>
    <row r="7" spans="2:50" ht="15" customHeight="1" x14ac:dyDescent="0.3">
      <c r="B7" s="346" t="s">
        <v>211</v>
      </c>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59"/>
      <c r="AP7" s="59"/>
      <c r="AS7" s="160" t="s">
        <v>121</v>
      </c>
      <c r="AT7" s="160"/>
      <c r="AU7" s="160"/>
      <c r="AV7" s="160"/>
    </row>
    <row r="8" spans="2:50" ht="15" customHeight="1" x14ac:dyDescent="0.3">
      <c r="B8" s="346" t="s">
        <v>40</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59"/>
      <c r="AP8" s="59"/>
      <c r="AS8" s="160"/>
      <c r="AT8" s="160"/>
      <c r="AU8" s="160"/>
      <c r="AV8" s="160"/>
    </row>
    <row r="9" spans="2:50" ht="15" customHeight="1" x14ac:dyDescent="0.3">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R9" s="337" t="s">
        <v>21</v>
      </c>
      <c r="AS9" s="337"/>
      <c r="AT9" s="337"/>
      <c r="AU9" s="337"/>
      <c r="AV9" s="337"/>
      <c r="AW9" s="61"/>
      <c r="AX9" s="61"/>
    </row>
    <row r="10" spans="2:50" ht="15" customHeight="1" x14ac:dyDescent="0.3">
      <c r="B10" s="1"/>
      <c r="C10" s="348" t="s">
        <v>38</v>
      </c>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1"/>
      <c r="AP10" s="1"/>
      <c r="AR10" s="337"/>
      <c r="AS10" s="337"/>
      <c r="AT10" s="337"/>
      <c r="AU10" s="337"/>
      <c r="AV10" s="337"/>
      <c r="AW10" s="61"/>
      <c r="AX10" s="61"/>
    </row>
    <row r="11" spans="2:50" ht="15" customHeight="1" x14ac:dyDescent="0.3">
      <c r="B11" s="1"/>
      <c r="C11" s="350">
        <v>1</v>
      </c>
      <c r="D11" s="350" t="s">
        <v>80</v>
      </c>
      <c r="E11" s="252"/>
      <c r="F11" s="252"/>
      <c r="G11" s="252"/>
      <c r="H11" s="252"/>
      <c r="I11" s="252"/>
      <c r="J11" s="252"/>
      <c r="K11" s="252"/>
      <c r="L11" s="252"/>
      <c r="M11" s="252"/>
      <c r="N11" s="252"/>
      <c r="O11" s="252"/>
      <c r="P11" s="252"/>
      <c r="Q11" s="252"/>
      <c r="R11" s="252"/>
      <c r="S11" s="352"/>
      <c r="T11" s="10" t="s">
        <v>5</v>
      </c>
      <c r="U11" s="353" t="str">
        <f>IF(ISBLANK('Basic Information'!L6)," ",PROPER('Basic Information'!L6))</f>
        <v xml:space="preserve"> </v>
      </c>
      <c r="V11" s="353"/>
      <c r="W11" s="353"/>
      <c r="X11" s="353"/>
      <c r="Y11" s="353"/>
      <c r="Z11" s="353"/>
      <c r="AA11" s="353"/>
      <c r="AB11" s="353"/>
      <c r="AC11" s="353"/>
      <c r="AD11" s="353"/>
      <c r="AE11" s="353"/>
      <c r="AF11" s="353"/>
      <c r="AG11" s="353"/>
      <c r="AH11" s="353"/>
      <c r="AI11" s="353"/>
      <c r="AJ11" s="353"/>
      <c r="AK11" s="353"/>
      <c r="AL11" s="353"/>
      <c r="AM11" s="353"/>
      <c r="AN11" s="353"/>
      <c r="AO11" s="59"/>
      <c r="AP11" s="59"/>
      <c r="AR11" s="164" t="s">
        <v>120</v>
      </c>
      <c r="AS11" s="164"/>
      <c r="AT11" s="164"/>
      <c r="AU11" s="164"/>
      <c r="AV11" s="164"/>
      <c r="AW11" s="164"/>
      <c r="AX11" s="62"/>
    </row>
    <row r="12" spans="2:50" ht="15" customHeight="1" x14ac:dyDescent="0.3">
      <c r="B12" s="1"/>
      <c r="C12" s="350"/>
      <c r="D12" s="354" t="s">
        <v>136</v>
      </c>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59"/>
      <c r="AP12" s="59"/>
      <c r="AR12" s="164"/>
      <c r="AS12" s="164"/>
      <c r="AT12" s="164"/>
      <c r="AU12" s="164"/>
      <c r="AV12" s="164"/>
      <c r="AW12" s="164"/>
      <c r="AX12" s="62"/>
    </row>
    <row r="13" spans="2:50" ht="15" customHeight="1" x14ac:dyDescent="0.3">
      <c r="B13" s="1"/>
      <c r="C13" s="350"/>
      <c r="D13" s="350" t="s">
        <v>109</v>
      </c>
      <c r="E13" s="252"/>
      <c r="F13" s="252"/>
      <c r="G13" s="252"/>
      <c r="H13" s="252"/>
      <c r="I13" s="252"/>
      <c r="J13" s="252"/>
      <c r="K13" s="252"/>
      <c r="L13" s="252"/>
      <c r="M13" s="252"/>
      <c r="N13" s="252"/>
      <c r="O13" s="252"/>
      <c r="P13" s="252"/>
      <c r="Q13" s="252"/>
      <c r="R13" s="252"/>
      <c r="S13" s="352"/>
      <c r="T13" s="10" t="s">
        <v>5</v>
      </c>
      <c r="U13" s="357"/>
      <c r="V13" s="357"/>
      <c r="W13" s="357"/>
      <c r="X13" s="357"/>
      <c r="Y13" s="357"/>
      <c r="Z13" s="357"/>
      <c r="AA13" s="357"/>
      <c r="AB13" s="357"/>
      <c r="AC13" s="357"/>
      <c r="AD13" s="357"/>
      <c r="AE13" s="357"/>
      <c r="AF13" s="357"/>
      <c r="AG13" s="357"/>
      <c r="AH13" s="357"/>
      <c r="AI13" s="357"/>
      <c r="AJ13" s="357"/>
      <c r="AK13" s="357"/>
      <c r="AL13" s="357"/>
      <c r="AM13" s="357"/>
      <c r="AN13" s="357"/>
      <c r="AO13" s="1"/>
      <c r="AP13" s="1"/>
      <c r="AR13" s="127" t="s">
        <v>36</v>
      </c>
      <c r="AS13" s="127"/>
      <c r="AT13" s="127"/>
      <c r="AU13" s="127"/>
      <c r="AV13" s="127"/>
      <c r="AW13" s="127"/>
      <c r="AX13" s="62"/>
    </row>
    <row r="14" spans="2:50" ht="15" customHeight="1" x14ac:dyDescent="0.3">
      <c r="B14" s="1"/>
      <c r="C14" s="350"/>
      <c r="D14" s="350" t="s">
        <v>110</v>
      </c>
      <c r="E14" s="252"/>
      <c r="F14" s="252"/>
      <c r="G14" s="252"/>
      <c r="H14" s="252"/>
      <c r="I14" s="252"/>
      <c r="J14" s="252"/>
      <c r="K14" s="252"/>
      <c r="L14" s="252"/>
      <c r="M14" s="252"/>
      <c r="N14" s="252"/>
      <c r="O14" s="252"/>
      <c r="P14" s="252"/>
      <c r="Q14" s="252"/>
      <c r="R14" s="252"/>
      <c r="S14" s="352"/>
      <c r="T14" s="10" t="s">
        <v>5</v>
      </c>
      <c r="U14" s="355"/>
      <c r="V14" s="356"/>
      <c r="W14" s="356"/>
      <c r="X14" s="356"/>
      <c r="Y14" s="356"/>
      <c r="Z14" s="356"/>
      <c r="AA14" s="356"/>
      <c r="AB14" s="356"/>
      <c r="AC14" s="356"/>
      <c r="AD14" s="356"/>
      <c r="AE14" s="356"/>
      <c r="AF14" s="356"/>
      <c r="AG14" s="356"/>
      <c r="AH14" s="356"/>
      <c r="AI14" s="356"/>
      <c r="AJ14" s="356"/>
      <c r="AK14" s="356"/>
      <c r="AL14" s="356"/>
      <c r="AM14" s="356"/>
      <c r="AN14" s="356"/>
      <c r="AO14" s="1"/>
      <c r="AP14" s="1"/>
      <c r="AR14" s="127"/>
      <c r="AS14" s="127"/>
      <c r="AT14" s="127"/>
      <c r="AU14" s="127"/>
      <c r="AV14" s="127"/>
      <c r="AW14" s="127"/>
      <c r="AX14" s="62"/>
    </row>
    <row r="15" spans="2:50" ht="15" customHeight="1" x14ac:dyDescent="0.3">
      <c r="B15" s="1"/>
      <c r="C15" s="350"/>
      <c r="D15" s="350" t="s">
        <v>108</v>
      </c>
      <c r="E15" s="252"/>
      <c r="F15" s="252"/>
      <c r="G15" s="252"/>
      <c r="H15" s="252"/>
      <c r="I15" s="252"/>
      <c r="J15" s="252"/>
      <c r="K15" s="252"/>
      <c r="L15" s="252"/>
      <c r="M15" s="252"/>
      <c r="N15" s="252"/>
      <c r="O15" s="252"/>
      <c r="P15" s="252"/>
      <c r="Q15" s="252"/>
      <c r="R15" s="252"/>
      <c r="S15" s="352"/>
      <c r="T15" s="10" t="s">
        <v>5</v>
      </c>
      <c r="U15" s="357"/>
      <c r="V15" s="358"/>
      <c r="W15" s="358"/>
      <c r="X15" s="358"/>
      <c r="Y15" s="358"/>
      <c r="Z15" s="358"/>
      <c r="AA15" s="358"/>
      <c r="AB15" s="358"/>
      <c r="AC15" s="358"/>
      <c r="AD15" s="358"/>
      <c r="AE15" s="358"/>
      <c r="AF15" s="358"/>
      <c r="AG15" s="358"/>
      <c r="AH15" s="358"/>
      <c r="AI15" s="358"/>
      <c r="AJ15" s="358"/>
      <c r="AK15" s="358"/>
      <c r="AL15" s="358"/>
      <c r="AM15" s="358"/>
      <c r="AN15" s="358"/>
      <c r="AO15" s="1"/>
      <c r="AP15" s="1"/>
      <c r="AS15" s="338" t="s">
        <v>22</v>
      </c>
      <c r="AT15" s="338"/>
      <c r="AU15" s="338"/>
      <c r="AV15" s="338"/>
      <c r="AW15" s="338"/>
      <c r="AX15" s="62"/>
    </row>
    <row r="16" spans="2:50" ht="15" customHeight="1" x14ac:dyDescent="0.3">
      <c r="B16" s="1"/>
      <c r="C16" s="350"/>
      <c r="D16" s="350" t="s">
        <v>107</v>
      </c>
      <c r="E16" s="252"/>
      <c r="F16" s="252"/>
      <c r="G16" s="252"/>
      <c r="H16" s="252"/>
      <c r="I16" s="252"/>
      <c r="J16" s="252"/>
      <c r="K16" s="252"/>
      <c r="L16" s="252"/>
      <c r="M16" s="252"/>
      <c r="N16" s="252"/>
      <c r="O16" s="252"/>
      <c r="P16" s="252"/>
      <c r="Q16" s="252"/>
      <c r="R16" s="252"/>
      <c r="S16" s="352"/>
      <c r="T16" s="10" t="s">
        <v>5</v>
      </c>
      <c r="U16" s="355"/>
      <c r="V16" s="356"/>
      <c r="W16" s="356"/>
      <c r="X16" s="356"/>
      <c r="Y16" s="356"/>
      <c r="Z16" s="356"/>
      <c r="AA16" s="356"/>
      <c r="AB16" s="356"/>
      <c r="AC16" s="356"/>
      <c r="AD16" s="356"/>
      <c r="AE16" s="356"/>
      <c r="AF16" s="356"/>
      <c r="AG16" s="356"/>
      <c r="AH16" s="356"/>
      <c r="AI16" s="356"/>
      <c r="AJ16" s="356"/>
      <c r="AK16" s="356"/>
      <c r="AL16" s="356"/>
      <c r="AM16" s="356"/>
      <c r="AN16" s="356"/>
      <c r="AO16" s="1"/>
      <c r="AP16" s="1"/>
      <c r="AS16" s="339" t="s">
        <v>23</v>
      </c>
      <c r="AT16" s="339"/>
      <c r="AU16" s="339"/>
      <c r="AV16" s="340"/>
      <c r="AW16" s="341"/>
      <c r="AX16" s="62"/>
    </row>
    <row r="17" spans="2:51" ht="15" customHeight="1" x14ac:dyDescent="0.3">
      <c r="B17" s="1"/>
      <c r="C17" s="350"/>
      <c r="D17" s="350" t="s">
        <v>106</v>
      </c>
      <c r="E17" s="252"/>
      <c r="F17" s="252"/>
      <c r="G17" s="252"/>
      <c r="H17" s="252"/>
      <c r="I17" s="252"/>
      <c r="J17" s="252"/>
      <c r="K17" s="252"/>
      <c r="L17" s="252"/>
      <c r="M17" s="252"/>
      <c r="N17" s="252"/>
      <c r="O17" s="252"/>
      <c r="P17" s="252"/>
      <c r="Q17" s="252"/>
      <c r="R17" s="252"/>
      <c r="S17" s="352"/>
      <c r="T17" s="10" t="s">
        <v>5</v>
      </c>
      <c r="U17" s="357"/>
      <c r="V17" s="358"/>
      <c r="W17" s="358"/>
      <c r="X17" s="358"/>
      <c r="Y17" s="358"/>
      <c r="Z17" s="358"/>
      <c r="AA17" s="358"/>
      <c r="AB17" s="358"/>
      <c r="AC17" s="358"/>
      <c r="AD17" s="358"/>
      <c r="AE17" s="358"/>
      <c r="AF17" s="358"/>
      <c r="AG17" s="358"/>
      <c r="AH17" s="358"/>
      <c r="AI17" s="358"/>
      <c r="AJ17" s="358"/>
      <c r="AK17" s="358"/>
      <c r="AL17" s="358"/>
      <c r="AM17" s="358"/>
      <c r="AN17" s="358"/>
      <c r="AO17" s="1"/>
      <c r="AP17" s="1"/>
      <c r="AU17" s="62"/>
      <c r="AV17" s="62"/>
      <c r="AW17" s="62"/>
      <c r="AX17" s="62"/>
    </row>
    <row r="18" spans="2:51" ht="15" customHeight="1" x14ac:dyDescent="0.3">
      <c r="B18" s="1"/>
      <c r="C18" s="350"/>
      <c r="D18" s="350" t="s">
        <v>81</v>
      </c>
      <c r="E18" s="252"/>
      <c r="F18" s="252"/>
      <c r="G18" s="252"/>
      <c r="H18" s="252"/>
      <c r="I18" s="252"/>
      <c r="J18" s="252"/>
      <c r="K18" s="252"/>
      <c r="L18" s="252"/>
      <c r="M18" s="252"/>
      <c r="N18" s="252"/>
      <c r="O18" s="252"/>
      <c r="P18" s="252"/>
      <c r="Q18" s="252"/>
      <c r="R18" s="252"/>
      <c r="S18" s="352"/>
      <c r="T18" s="10" t="s">
        <v>5</v>
      </c>
      <c r="U18" s="355"/>
      <c r="V18" s="358"/>
      <c r="W18" s="358"/>
      <c r="X18" s="358"/>
      <c r="Y18" s="358"/>
      <c r="Z18" s="358"/>
      <c r="AA18" s="358"/>
      <c r="AB18" s="358"/>
      <c r="AC18" s="358"/>
      <c r="AD18" s="358"/>
      <c r="AE18" s="358"/>
      <c r="AF18" s="358"/>
      <c r="AG18" s="358"/>
      <c r="AH18" s="358"/>
      <c r="AI18" s="358"/>
      <c r="AJ18" s="358"/>
      <c r="AK18" s="358"/>
      <c r="AL18" s="358"/>
      <c r="AM18" s="358"/>
      <c r="AN18" s="358"/>
      <c r="AO18" s="1"/>
      <c r="AP18" s="1"/>
      <c r="AR18" s="170" t="s">
        <v>134</v>
      </c>
      <c r="AS18" s="170"/>
      <c r="AT18" s="170"/>
      <c r="AU18" s="170"/>
      <c r="AV18" s="170"/>
      <c r="AW18" s="170"/>
      <c r="AX18" s="62"/>
    </row>
    <row r="19" spans="2:51" ht="15" customHeight="1" x14ac:dyDescent="0.3">
      <c r="B19" s="1"/>
      <c r="C19" s="351"/>
      <c r="D19" s="350" t="s">
        <v>137</v>
      </c>
      <c r="E19" s="252"/>
      <c r="F19" s="252"/>
      <c r="G19" s="252"/>
      <c r="H19" s="252"/>
      <c r="I19" s="252"/>
      <c r="J19" s="252"/>
      <c r="K19" s="252"/>
      <c r="L19" s="252"/>
      <c r="M19" s="252"/>
      <c r="N19" s="252"/>
      <c r="O19" s="252"/>
      <c r="P19" s="252"/>
      <c r="Q19" s="252"/>
      <c r="R19" s="252"/>
      <c r="S19" s="352"/>
      <c r="T19" s="10" t="s">
        <v>5</v>
      </c>
      <c r="U19" s="357"/>
      <c r="V19" s="357"/>
      <c r="W19" s="357"/>
      <c r="X19" s="357"/>
      <c r="Y19" s="357"/>
      <c r="Z19" s="357"/>
      <c r="AA19" s="357"/>
      <c r="AB19" s="357"/>
      <c r="AC19" s="357"/>
      <c r="AD19" s="357"/>
      <c r="AE19" s="357"/>
      <c r="AF19" s="357"/>
      <c r="AG19" s="357"/>
      <c r="AH19" s="357"/>
      <c r="AI19" s="357"/>
      <c r="AJ19" s="357"/>
      <c r="AK19" s="357"/>
      <c r="AL19" s="357"/>
      <c r="AM19" s="357"/>
      <c r="AN19" s="357"/>
      <c r="AO19" s="1"/>
      <c r="AP19" s="1"/>
      <c r="AR19" s="170"/>
      <c r="AS19" s="170"/>
      <c r="AT19" s="170"/>
      <c r="AU19" s="170"/>
      <c r="AV19" s="170"/>
      <c r="AW19" s="170"/>
    </row>
    <row r="20" spans="2:51" ht="15" customHeight="1" x14ac:dyDescent="0.3">
      <c r="B20" s="1"/>
      <c r="C20" s="9">
        <v>2</v>
      </c>
      <c r="D20" s="359" t="s">
        <v>41</v>
      </c>
      <c r="E20" s="359"/>
      <c r="F20" s="359"/>
      <c r="G20" s="359"/>
      <c r="H20" s="359"/>
      <c r="I20" s="359"/>
      <c r="J20" s="359"/>
      <c r="K20" s="359"/>
      <c r="L20" s="359"/>
      <c r="M20" s="359"/>
      <c r="N20" s="359"/>
      <c r="O20" s="359"/>
      <c r="P20" s="359"/>
      <c r="Q20" s="359"/>
      <c r="R20" s="359"/>
      <c r="S20" s="360"/>
      <c r="T20" s="11" t="s">
        <v>5</v>
      </c>
      <c r="U20" s="353" t="str">
        <f>IF(ISNONTEXT('Basic Information'!AK6)," ",UPPER('Basic Information'!AK6))</f>
        <v xml:space="preserve"> </v>
      </c>
      <c r="V20" s="353"/>
      <c r="W20" s="353"/>
      <c r="X20" s="353"/>
      <c r="Y20" s="353"/>
      <c r="Z20" s="353"/>
      <c r="AA20" s="353"/>
      <c r="AB20" s="353"/>
      <c r="AC20" s="353"/>
      <c r="AD20" s="353"/>
      <c r="AE20" s="353"/>
      <c r="AF20" s="353"/>
      <c r="AG20" s="353"/>
      <c r="AH20" s="353"/>
      <c r="AI20" s="353"/>
      <c r="AJ20" s="353"/>
      <c r="AK20" s="353"/>
      <c r="AL20" s="353"/>
      <c r="AM20" s="353"/>
      <c r="AN20" s="353"/>
      <c r="AO20" s="1"/>
      <c r="AP20" s="1"/>
      <c r="AR20" s="170"/>
      <c r="AS20" s="170"/>
      <c r="AT20" s="170"/>
      <c r="AU20" s="170"/>
      <c r="AV20" s="170"/>
      <c r="AW20" s="170"/>
    </row>
    <row r="21" spans="2:51" x14ac:dyDescent="0.3">
      <c r="B21" s="1"/>
      <c r="C21" s="9">
        <v>3</v>
      </c>
      <c r="D21" s="359" t="s">
        <v>42</v>
      </c>
      <c r="E21" s="359"/>
      <c r="F21" s="359"/>
      <c r="G21" s="359"/>
      <c r="H21" s="359"/>
      <c r="I21" s="359"/>
      <c r="J21" s="359"/>
      <c r="K21" s="359"/>
      <c r="L21" s="359"/>
      <c r="M21" s="359"/>
      <c r="N21" s="359"/>
      <c r="O21" s="359"/>
      <c r="P21" s="359"/>
      <c r="Q21" s="359"/>
      <c r="R21" s="359"/>
      <c r="S21" s="360"/>
      <c r="T21" s="11" t="s">
        <v>5</v>
      </c>
      <c r="U21" s="355"/>
      <c r="V21" s="355"/>
      <c r="W21" s="355"/>
      <c r="X21" s="355"/>
      <c r="Y21" s="355"/>
      <c r="Z21" s="355"/>
      <c r="AA21" s="355"/>
      <c r="AB21" s="355"/>
      <c r="AC21" s="355"/>
      <c r="AD21" s="355"/>
      <c r="AE21" s="355"/>
      <c r="AF21" s="355"/>
      <c r="AG21" s="355"/>
      <c r="AH21" s="355"/>
      <c r="AI21" s="355"/>
      <c r="AJ21" s="355"/>
      <c r="AK21" s="355"/>
      <c r="AL21" s="355"/>
      <c r="AM21" s="355"/>
      <c r="AN21" s="355"/>
      <c r="AO21" s="1"/>
      <c r="AP21" s="1"/>
      <c r="AR21" s="170"/>
      <c r="AS21" s="170"/>
      <c r="AT21" s="170"/>
      <c r="AU21" s="170"/>
      <c r="AV21" s="170"/>
      <c r="AW21" s="170"/>
      <c r="AX21" s="1"/>
    </row>
    <row r="22" spans="2:51" x14ac:dyDescent="0.3">
      <c r="B22" s="1"/>
      <c r="C22" s="9">
        <v>4</v>
      </c>
      <c r="D22" s="359" t="s">
        <v>44</v>
      </c>
      <c r="E22" s="359"/>
      <c r="F22" s="359"/>
      <c r="G22" s="359"/>
      <c r="H22" s="359"/>
      <c r="I22" s="359"/>
      <c r="J22" s="359"/>
      <c r="K22" s="359"/>
      <c r="L22" s="359"/>
      <c r="M22" s="359"/>
      <c r="N22" s="359"/>
      <c r="O22" s="359"/>
      <c r="P22" s="359"/>
      <c r="Q22" s="359"/>
      <c r="R22" s="359"/>
      <c r="S22" s="360"/>
      <c r="T22" s="11" t="s">
        <v>5</v>
      </c>
      <c r="U22" s="357"/>
      <c r="V22" s="357"/>
      <c r="W22" s="357"/>
      <c r="X22" s="357"/>
      <c r="Y22" s="357"/>
      <c r="Z22" s="357"/>
      <c r="AA22" s="357"/>
      <c r="AB22" s="357"/>
      <c r="AC22" s="357"/>
      <c r="AD22" s="357"/>
      <c r="AE22" s="357"/>
      <c r="AF22" s="357"/>
      <c r="AG22" s="357"/>
      <c r="AH22" s="357"/>
      <c r="AI22" s="357"/>
      <c r="AJ22" s="357"/>
      <c r="AK22" s="357"/>
      <c r="AL22" s="357"/>
      <c r="AM22" s="357"/>
      <c r="AN22" s="357"/>
      <c r="AO22" s="1"/>
      <c r="AP22" s="1"/>
      <c r="AQ22" s="86"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5"/>
      <c r="AV23" s="65"/>
      <c r="AW23" s="1"/>
      <c r="AX23" s="1"/>
    </row>
    <row r="24" spans="2:51" x14ac:dyDescent="0.3">
      <c r="B24" s="1"/>
      <c r="C24" s="347" t="s">
        <v>45</v>
      </c>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60"/>
      <c r="AP24" s="60"/>
    </row>
    <row r="25" spans="2:51" x14ac:dyDescent="0.3">
      <c r="B25" s="1"/>
      <c r="C25" s="1"/>
      <c r="D25" s="1"/>
      <c r="E25" s="1"/>
      <c r="F25" s="1"/>
      <c r="G25" s="361" t="s">
        <v>226</v>
      </c>
      <c r="H25" s="362"/>
      <c r="I25" s="362"/>
      <c r="J25" s="362"/>
      <c r="K25" s="362"/>
      <c r="L25" s="362"/>
      <c r="M25" s="362"/>
      <c r="N25" s="362"/>
      <c r="O25" s="362"/>
      <c r="P25" s="362"/>
      <c r="Q25" s="362"/>
      <c r="R25" s="362"/>
      <c r="S25" s="362"/>
      <c r="T25" s="362"/>
      <c r="U25" s="362"/>
      <c r="V25" s="362"/>
      <c r="W25" s="362"/>
      <c r="X25" s="362"/>
      <c r="Y25" s="362"/>
      <c r="Z25" s="362"/>
      <c r="AA25" s="361" t="s">
        <v>158</v>
      </c>
      <c r="AB25" s="361"/>
      <c r="AC25" s="361"/>
      <c r="AD25" s="361"/>
      <c r="AE25" s="361"/>
      <c r="AF25" s="361"/>
      <c r="AG25" s="361"/>
      <c r="AH25" s="361"/>
      <c r="AI25" s="361"/>
      <c r="AJ25" s="361"/>
      <c r="AK25" s="361"/>
      <c r="AL25" s="36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6"/>
      <c r="AU26" s="57"/>
      <c r="AV26" s="57"/>
      <c r="AW26" s="57"/>
      <c r="AX26" s="57"/>
      <c r="AY26" s="57"/>
    </row>
    <row r="27" spans="2:51" ht="15" customHeight="1" x14ac:dyDescent="0.3">
      <c r="B27" s="1"/>
      <c r="C27" s="390">
        <v>1</v>
      </c>
      <c r="D27" s="390" t="s">
        <v>8</v>
      </c>
      <c r="E27" s="390"/>
      <c r="F27" s="372" t="s">
        <v>46</v>
      </c>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3"/>
      <c r="AE27" s="394"/>
      <c r="AF27" s="404"/>
      <c r="AG27" s="405"/>
      <c r="AH27" s="405"/>
      <c r="AI27" s="405"/>
      <c r="AJ27" s="405"/>
      <c r="AK27" s="405"/>
      <c r="AL27" s="405"/>
      <c r="AM27" s="405"/>
      <c r="AN27" s="406"/>
      <c r="AO27" s="3"/>
      <c r="AP27" s="88">
        <f>SUM('Income Tax Proforma - Old Schem'!N34,'Income Tax Proforma - Old Schem'!AH34,'Income Tax Proforma - Old Schem'!BC34)</f>
        <v>0</v>
      </c>
      <c r="AQ27" s="174" t="str">
        <f>IF(AF27&gt;AP27,"Please ensure that the salary received in arrears or in advance is included in section 'A2. Salary Arrear Statement' in the Income Tax Proforma-old schem sheet.","")</f>
        <v/>
      </c>
      <c r="AR27" s="174"/>
      <c r="AS27" s="174"/>
      <c r="AT27" s="174"/>
      <c r="AU27" s="174"/>
      <c r="AV27" s="174"/>
      <c r="AW27" s="174"/>
      <c r="AX27" s="174"/>
      <c r="AY27" s="53"/>
    </row>
    <row r="28" spans="2:51" ht="15" customHeight="1" x14ac:dyDescent="0.3">
      <c r="B28" s="1"/>
      <c r="C28" s="391"/>
      <c r="D28" s="391"/>
      <c r="E28" s="391"/>
      <c r="F28" s="395"/>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7"/>
      <c r="AE28" s="398"/>
      <c r="AF28" s="407"/>
      <c r="AG28" s="407"/>
      <c r="AH28" s="407"/>
      <c r="AI28" s="407"/>
      <c r="AJ28" s="407"/>
      <c r="AK28" s="407"/>
      <c r="AL28" s="407"/>
      <c r="AM28" s="407"/>
      <c r="AN28" s="408"/>
      <c r="AO28" s="3"/>
      <c r="AP28" s="3"/>
      <c r="AQ28" s="174"/>
      <c r="AR28" s="174"/>
      <c r="AS28" s="174"/>
      <c r="AT28" s="174"/>
      <c r="AU28" s="174"/>
      <c r="AV28" s="174"/>
      <c r="AW28" s="174"/>
      <c r="AX28" s="174"/>
      <c r="AY28" s="53"/>
    </row>
    <row r="29" spans="2:51" ht="15" customHeight="1" x14ac:dyDescent="0.3">
      <c r="B29" s="1"/>
      <c r="C29" s="363"/>
      <c r="D29" s="366" t="s">
        <v>9</v>
      </c>
      <c r="E29" s="367"/>
      <c r="F29" s="372" t="s">
        <v>75</v>
      </c>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4"/>
      <c r="AF29" s="399" t="s">
        <v>47</v>
      </c>
      <c r="AG29" s="409"/>
      <c r="AH29" s="409"/>
      <c r="AI29" s="409"/>
      <c r="AJ29" s="409"/>
      <c r="AK29" s="409"/>
      <c r="AL29" s="409"/>
      <c r="AM29" s="409"/>
      <c r="AN29" s="410"/>
      <c r="AO29" s="3"/>
      <c r="AP29" s="3"/>
      <c r="AT29" s="53"/>
      <c r="AU29" s="53"/>
      <c r="AV29" s="53"/>
      <c r="AW29" s="53"/>
      <c r="AX29" s="53"/>
      <c r="AY29" s="53"/>
    </row>
    <row r="30" spans="2:51" ht="15" customHeight="1" x14ac:dyDescent="0.3">
      <c r="B30" s="1"/>
      <c r="C30" s="364"/>
      <c r="D30" s="368"/>
      <c r="E30" s="369"/>
      <c r="F30" s="375"/>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7"/>
      <c r="AF30" s="411"/>
      <c r="AG30" s="411"/>
      <c r="AH30" s="411"/>
      <c r="AI30" s="411"/>
      <c r="AJ30" s="411"/>
      <c r="AK30" s="411"/>
      <c r="AL30" s="411"/>
      <c r="AM30" s="411"/>
      <c r="AN30" s="412"/>
      <c r="AO30" s="3"/>
      <c r="AP30" s="3"/>
    </row>
    <row r="31" spans="2:51" x14ac:dyDescent="0.3">
      <c r="B31" s="1"/>
      <c r="C31" s="365"/>
      <c r="D31" s="370"/>
      <c r="E31" s="371"/>
      <c r="F31" s="378"/>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80"/>
      <c r="AF31" s="413"/>
      <c r="AG31" s="413"/>
      <c r="AH31" s="413"/>
      <c r="AI31" s="413"/>
      <c r="AJ31" s="413"/>
      <c r="AK31" s="413"/>
      <c r="AL31" s="413"/>
      <c r="AM31" s="413"/>
      <c r="AN31" s="414"/>
      <c r="AO31" s="3"/>
      <c r="AP31" s="3"/>
    </row>
    <row r="32" spans="2:51" x14ac:dyDescent="0.3">
      <c r="B32" s="1"/>
      <c r="C32" s="363"/>
      <c r="D32" s="366" t="s">
        <v>48</v>
      </c>
      <c r="E32" s="367"/>
      <c r="F32" s="372" t="s">
        <v>76</v>
      </c>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4"/>
      <c r="AF32" s="381" t="s">
        <v>47</v>
      </c>
      <c r="AG32" s="382"/>
      <c r="AH32" s="382"/>
      <c r="AI32" s="382"/>
      <c r="AJ32" s="382"/>
      <c r="AK32" s="382"/>
      <c r="AL32" s="382"/>
      <c r="AM32" s="382"/>
      <c r="AN32" s="383"/>
      <c r="AO32" s="63"/>
      <c r="AP32" s="63"/>
    </row>
    <row r="33" spans="2:42" x14ac:dyDescent="0.3">
      <c r="B33" s="1"/>
      <c r="C33" s="364"/>
      <c r="D33" s="368"/>
      <c r="E33" s="369"/>
      <c r="F33" s="375"/>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7"/>
      <c r="AF33" s="384"/>
      <c r="AG33" s="385"/>
      <c r="AH33" s="385"/>
      <c r="AI33" s="385"/>
      <c r="AJ33" s="385"/>
      <c r="AK33" s="385"/>
      <c r="AL33" s="385"/>
      <c r="AM33" s="385"/>
      <c r="AN33" s="386"/>
      <c r="AO33" s="63"/>
      <c r="AP33" s="63"/>
    </row>
    <row r="34" spans="2:42" x14ac:dyDescent="0.3">
      <c r="B34" s="1"/>
      <c r="C34" s="364"/>
      <c r="D34" s="368"/>
      <c r="E34" s="369"/>
      <c r="F34" s="375"/>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7"/>
      <c r="AF34" s="384"/>
      <c r="AG34" s="385"/>
      <c r="AH34" s="385"/>
      <c r="AI34" s="385"/>
      <c r="AJ34" s="385"/>
      <c r="AK34" s="385"/>
      <c r="AL34" s="385"/>
      <c r="AM34" s="385"/>
      <c r="AN34" s="386"/>
      <c r="AO34" s="63"/>
      <c r="AP34" s="63"/>
    </row>
    <row r="35" spans="2:42" x14ac:dyDescent="0.3">
      <c r="B35" s="1"/>
      <c r="C35" s="364"/>
      <c r="D35" s="368"/>
      <c r="E35" s="369"/>
      <c r="F35" s="375"/>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7"/>
      <c r="AF35" s="384"/>
      <c r="AG35" s="385"/>
      <c r="AH35" s="385"/>
      <c r="AI35" s="385"/>
      <c r="AJ35" s="385"/>
      <c r="AK35" s="385"/>
      <c r="AL35" s="385"/>
      <c r="AM35" s="385"/>
      <c r="AN35" s="386"/>
      <c r="AO35" s="63"/>
      <c r="AP35" s="63"/>
    </row>
    <row r="36" spans="2:42" x14ac:dyDescent="0.3">
      <c r="B36" s="1"/>
      <c r="C36" s="364"/>
      <c r="D36" s="368"/>
      <c r="E36" s="369"/>
      <c r="F36" s="375"/>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7"/>
      <c r="AF36" s="384"/>
      <c r="AG36" s="385"/>
      <c r="AH36" s="385"/>
      <c r="AI36" s="385"/>
      <c r="AJ36" s="385"/>
      <c r="AK36" s="385"/>
      <c r="AL36" s="385"/>
      <c r="AM36" s="385"/>
      <c r="AN36" s="386"/>
      <c r="AO36" s="63"/>
      <c r="AP36" s="63"/>
    </row>
    <row r="37" spans="2:42" x14ac:dyDescent="0.3">
      <c r="B37" s="1"/>
      <c r="C37" s="365"/>
      <c r="D37" s="370"/>
      <c r="E37" s="371"/>
      <c r="F37" s="378"/>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80"/>
      <c r="AF37" s="387"/>
      <c r="AG37" s="388"/>
      <c r="AH37" s="388"/>
      <c r="AI37" s="388"/>
      <c r="AJ37" s="388"/>
      <c r="AK37" s="388"/>
      <c r="AL37" s="388"/>
      <c r="AM37" s="388"/>
      <c r="AN37" s="389"/>
      <c r="AO37" s="63"/>
      <c r="AP37" s="63"/>
    </row>
    <row r="38" spans="2:42" x14ac:dyDescent="0.3">
      <c r="B38" s="1"/>
      <c r="C38" s="390"/>
      <c r="D38" s="390" t="s">
        <v>10</v>
      </c>
      <c r="E38" s="390"/>
      <c r="F38" s="372" t="s">
        <v>49</v>
      </c>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3"/>
      <c r="AE38" s="394"/>
      <c r="AF38" s="399" t="s">
        <v>47</v>
      </c>
      <c r="AG38" s="400"/>
      <c r="AH38" s="400"/>
      <c r="AI38" s="400"/>
      <c r="AJ38" s="400"/>
      <c r="AK38" s="400"/>
      <c r="AL38" s="400"/>
      <c r="AM38" s="400"/>
      <c r="AN38" s="401"/>
      <c r="AO38" s="4"/>
      <c r="AP38" s="4"/>
    </row>
    <row r="39" spans="2:42" x14ac:dyDescent="0.3">
      <c r="B39" s="1"/>
      <c r="C39" s="391"/>
      <c r="D39" s="391"/>
      <c r="E39" s="391"/>
      <c r="F39" s="395"/>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7"/>
      <c r="AE39" s="398"/>
      <c r="AF39" s="402"/>
      <c r="AG39" s="402"/>
      <c r="AH39" s="402"/>
      <c r="AI39" s="402"/>
      <c r="AJ39" s="402"/>
      <c r="AK39" s="402"/>
      <c r="AL39" s="402"/>
      <c r="AM39" s="402"/>
      <c r="AN39" s="403"/>
      <c r="AO39" s="4"/>
      <c r="AP39" s="4"/>
    </row>
    <row r="40" spans="2:42" x14ac:dyDescent="0.3">
      <c r="B40" s="1"/>
      <c r="C40" s="390">
        <v>2</v>
      </c>
      <c r="D40" s="390"/>
      <c r="E40" s="390"/>
      <c r="F40" s="372" t="s">
        <v>77</v>
      </c>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3"/>
      <c r="AE40" s="394"/>
      <c r="AF40" s="399" t="s">
        <v>50</v>
      </c>
      <c r="AG40" s="400"/>
      <c r="AH40" s="400"/>
      <c r="AI40" s="400"/>
      <c r="AJ40" s="400"/>
      <c r="AK40" s="400"/>
      <c r="AL40" s="400"/>
      <c r="AM40" s="400"/>
      <c r="AN40" s="401"/>
      <c r="AO40" s="4"/>
      <c r="AP40" s="4"/>
    </row>
    <row r="41" spans="2:42" x14ac:dyDescent="0.3">
      <c r="B41" s="1"/>
      <c r="C41" s="391"/>
      <c r="D41" s="391"/>
      <c r="E41" s="391"/>
      <c r="F41" s="395"/>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7"/>
      <c r="AE41" s="398"/>
      <c r="AF41" s="402"/>
      <c r="AG41" s="402"/>
      <c r="AH41" s="402"/>
      <c r="AI41" s="402"/>
      <c r="AJ41" s="402"/>
      <c r="AK41" s="402"/>
      <c r="AL41" s="402"/>
      <c r="AM41" s="402"/>
      <c r="AN41" s="403"/>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17" t="s">
        <v>52</v>
      </c>
      <c r="Q43" s="347"/>
      <c r="R43" s="347"/>
      <c r="S43" s="347"/>
      <c r="T43" s="347"/>
      <c r="U43" s="347"/>
      <c r="V43" s="347"/>
      <c r="W43" s="347"/>
      <c r="X43" s="347"/>
      <c r="Y43" s="347"/>
      <c r="Z43" s="34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43" t="str">
        <f>IF(ISBLANK(U11)," ", PROPER(U11))</f>
        <v xml:space="preserve"> </v>
      </c>
      <c r="E45" s="343"/>
      <c r="F45" s="343"/>
      <c r="G45" s="343"/>
      <c r="H45" s="343"/>
      <c r="I45" s="343"/>
      <c r="J45" s="343"/>
      <c r="K45" s="343"/>
      <c r="L45" s="343"/>
      <c r="M45" s="343"/>
      <c r="N45" s="343"/>
      <c r="O45" s="343"/>
      <c r="P45" s="343"/>
      <c r="Q45" s="343"/>
      <c r="R45" s="343"/>
      <c r="S45" s="343"/>
      <c r="T45" s="343"/>
      <c r="U45" s="343"/>
      <c r="V45" s="361" t="s">
        <v>54</v>
      </c>
      <c r="W45" s="361"/>
      <c r="X45" s="361"/>
      <c r="Y45" s="361"/>
      <c r="Z45" s="361"/>
      <c r="AA45" s="361"/>
      <c r="AB45" s="361"/>
      <c r="AC45" s="361"/>
      <c r="AD45" s="361"/>
      <c r="AE45" s="361"/>
      <c r="AF45" s="361"/>
      <c r="AG45" s="361"/>
      <c r="AH45" s="361"/>
      <c r="AI45" s="361"/>
      <c r="AJ45" s="361"/>
      <c r="AK45" s="361"/>
      <c r="AL45" s="361"/>
      <c r="AM45" s="361"/>
      <c r="AN45" s="361"/>
      <c r="AO45" s="8"/>
      <c r="AP45" s="8"/>
    </row>
    <row r="46" spans="2:42" x14ac:dyDescent="0.3">
      <c r="B46" s="1"/>
      <c r="C46" s="361" t="s">
        <v>55</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61" t="s">
        <v>11</v>
      </c>
      <c r="D49" s="361"/>
      <c r="E49" s="361"/>
      <c r="F49" s="361"/>
      <c r="G49" s="1" t="s">
        <v>5</v>
      </c>
      <c r="H49" s="343" t="str">
        <f>IF(ISBLANK('Basic Information'!H29)," ",PROPER('Basic Information'!H29))</f>
        <v xml:space="preserve"> </v>
      </c>
      <c r="I49" s="343"/>
      <c r="J49" s="343"/>
      <c r="K49" s="343"/>
      <c r="L49" s="343"/>
      <c r="M49" s="343"/>
      <c r="N49" s="343"/>
      <c r="O49" s="343"/>
      <c r="P49" s="343"/>
      <c r="Q49" s="418"/>
      <c r="R49" s="418"/>
      <c r="S49" s="418"/>
      <c r="T49" s="418"/>
      <c r="U49" s="418"/>
      <c r="V49" s="1"/>
      <c r="W49" s="1"/>
      <c r="X49" s="1"/>
      <c r="Y49" s="1"/>
      <c r="Z49" s="1"/>
      <c r="AA49" s="1"/>
      <c r="AB49" s="1"/>
      <c r="AC49" s="347"/>
      <c r="AD49" s="347"/>
      <c r="AE49" s="347"/>
      <c r="AF49" s="347"/>
      <c r="AG49" s="347"/>
      <c r="AH49" s="347"/>
      <c r="AI49" s="347"/>
      <c r="AJ49" s="347"/>
      <c r="AK49" s="347"/>
      <c r="AL49" s="347"/>
      <c r="AM49" s="347"/>
      <c r="AN49" s="347"/>
      <c r="AO49" s="60"/>
      <c r="AP49" s="60"/>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15"/>
      <c r="AD50" s="415"/>
      <c r="AE50" s="415"/>
      <c r="AF50" s="415"/>
      <c r="AG50" s="415"/>
      <c r="AH50" s="415"/>
      <c r="AI50" s="415"/>
      <c r="AJ50" s="415"/>
      <c r="AK50" s="415"/>
      <c r="AL50" s="415"/>
      <c r="AM50" s="415"/>
      <c r="AN50" s="415"/>
      <c r="AO50" s="60"/>
      <c r="AP50" s="60"/>
    </row>
    <row r="51" spans="2:49" x14ac:dyDescent="0.3">
      <c r="B51" s="1"/>
      <c r="C51" s="361" t="s">
        <v>12</v>
      </c>
      <c r="D51" s="361"/>
      <c r="E51" s="361"/>
      <c r="F51" s="361"/>
      <c r="G51" s="1" t="s">
        <v>5</v>
      </c>
      <c r="H51" s="416" t="str">
        <f>IF(ISBLANK('Basic Information'!H31)," ",'Basic Information'!H31)</f>
        <v xml:space="preserve"> </v>
      </c>
      <c r="I51" s="416"/>
      <c r="J51" s="416"/>
      <c r="K51" s="416"/>
      <c r="L51" s="416"/>
      <c r="M51" s="416"/>
      <c r="N51" s="416"/>
      <c r="O51" s="416"/>
      <c r="P51" s="416"/>
      <c r="Q51" s="1"/>
      <c r="R51" s="1"/>
      <c r="S51" s="1"/>
      <c r="T51" s="1"/>
      <c r="U51" s="1"/>
      <c r="V51" s="1"/>
      <c r="W51" s="1"/>
      <c r="X51" s="1"/>
      <c r="Y51" s="1"/>
      <c r="Z51" s="1"/>
      <c r="AA51" s="1"/>
      <c r="AB51" s="1"/>
      <c r="AC51" s="344" t="s">
        <v>51</v>
      </c>
      <c r="AD51" s="344"/>
      <c r="AE51" s="344"/>
      <c r="AF51" s="344"/>
      <c r="AG51" s="344"/>
      <c r="AH51" s="344"/>
      <c r="AI51" s="344"/>
      <c r="AJ51" s="344"/>
      <c r="AK51" s="344"/>
      <c r="AL51" s="344"/>
      <c r="AM51" s="344"/>
      <c r="AN51" s="34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44" t="s">
        <v>56</v>
      </c>
      <c r="S57" s="445"/>
      <c r="T57" s="445"/>
      <c r="U57" s="445"/>
      <c r="V57" s="445"/>
      <c r="W57" s="445"/>
      <c r="X57" s="445"/>
      <c r="Y57" s="64"/>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47" t="s">
        <v>57</v>
      </c>
      <c r="P58" s="347"/>
      <c r="Q58" s="347"/>
      <c r="R58" s="347"/>
      <c r="S58" s="347"/>
      <c r="T58" s="347"/>
      <c r="U58" s="347"/>
      <c r="V58" s="347"/>
      <c r="W58" s="347"/>
      <c r="X58" s="347"/>
      <c r="Y58" s="347"/>
      <c r="Z58" s="347"/>
      <c r="AA58" s="34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5" t="s">
        <v>58</v>
      </c>
      <c r="N60" s="108"/>
      <c r="O60" s="108"/>
      <c r="P60" s="108"/>
      <c r="Q60" s="108"/>
      <c r="R60" s="108"/>
      <c r="S60" s="108"/>
      <c r="T60" s="108"/>
      <c r="U60" s="108"/>
      <c r="V60" s="108"/>
      <c r="W60" s="108"/>
      <c r="X60" s="108"/>
      <c r="Y60" s="108"/>
      <c r="Z60" s="108"/>
      <c r="AA60" s="108"/>
      <c r="AB60" s="108"/>
      <c r="AC60" s="108"/>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0">
        <v>1</v>
      </c>
      <c r="D62" s="419" t="s">
        <v>59</v>
      </c>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134"/>
      <c r="AD62" s="134"/>
      <c r="AE62" s="256"/>
      <c r="AF62" s="424">
        <f>IF(AND(AF27&lt;&gt;0,AF27&lt;=AP27,'Income Tax Proforma - Old Schem'!AV161&lt;&gt;0,('Income Tax Proforma - Old Schem'!AV161)&gt;=AF64),(('Income Tax Proforma - Old Schem'!AV161)-AF64),0)</f>
        <v>0</v>
      </c>
      <c r="AG62" s="425"/>
      <c r="AH62" s="425"/>
      <c r="AI62" s="425"/>
      <c r="AJ62" s="425"/>
      <c r="AK62" s="425"/>
      <c r="AL62" s="425"/>
      <c r="AM62" s="425"/>
      <c r="AN62" s="426"/>
      <c r="AO62" s="1"/>
      <c r="AP62" s="1"/>
      <c r="AQ62" s="132" t="str">
        <f>IF(AND(AF27&lt;&gt;0,'Income Tax Proforma - Old Schem'!AV161=0),"Since your income is not taxable for this tax year, Form 10E is not required.","")</f>
        <v/>
      </c>
      <c r="AR62" s="132"/>
      <c r="AS62" s="132"/>
      <c r="AT62" s="132"/>
      <c r="AU62" s="132"/>
      <c r="AV62" s="132"/>
      <c r="AW62" s="132"/>
    </row>
    <row r="63" spans="2:49" ht="12" customHeight="1" x14ac:dyDescent="0.3">
      <c r="B63" s="1"/>
      <c r="C63" s="391"/>
      <c r="D63" s="421"/>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427"/>
      <c r="AG63" s="428"/>
      <c r="AH63" s="428"/>
      <c r="AI63" s="428"/>
      <c r="AJ63" s="428"/>
      <c r="AK63" s="428"/>
      <c r="AL63" s="428"/>
      <c r="AM63" s="428"/>
      <c r="AN63" s="429"/>
      <c r="AO63" s="1"/>
      <c r="AP63" s="1"/>
      <c r="AQ63" s="132"/>
      <c r="AR63" s="132"/>
      <c r="AS63" s="132"/>
      <c r="AT63" s="132"/>
      <c r="AU63" s="132"/>
      <c r="AV63" s="132"/>
      <c r="AW63" s="132"/>
    </row>
    <row r="64" spans="2:49" ht="10.5" customHeight="1" x14ac:dyDescent="0.3">
      <c r="B64" s="1"/>
      <c r="C64" s="390">
        <v>2</v>
      </c>
      <c r="D64" s="419" t="s">
        <v>60</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134"/>
      <c r="AD64" s="134"/>
      <c r="AE64" s="256"/>
      <c r="AF64" s="424">
        <f>IF(AND(AF27&lt;=AP27,'Income Tax Proforma - Old Schem'!AV161&lt;&gt;0),AF27,0)</f>
        <v>0</v>
      </c>
      <c r="AG64" s="425"/>
      <c r="AH64" s="425"/>
      <c r="AI64" s="425"/>
      <c r="AJ64" s="425"/>
      <c r="AK64" s="425"/>
      <c r="AL64" s="425"/>
      <c r="AM64" s="425"/>
      <c r="AN64" s="426"/>
      <c r="AO64" s="1"/>
      <c r="AP64" s="1"/>
    </row>
    <row r="65" spans="2:49" ht="12.75" customHeight="1" x14ac:dyDescent="0.3">
      <c r="B65" s="1"/>
      <c r="C65" s="391"/>
      <c r="D65" s="421"/>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3"/>
      <c r="AF65" s="427"/>
      <c r="AG65" s="428"/>
      <c r="AH65" s="428"/>
      <c r="AI65" s="428"/>
      <c r="AJ65" s="428"/>
      <c r="AK65" s="428"/>
      <c r="AL65" s="428"/>
      <c r="AM65" s="428"/>
      <c r="AN65" s="429"/>
      <c r="AO65" s="1"/>
      <c r="AP65" s="1"/>
    </row>
    <row r="66" spans="2:49" ht="15.75" customHeight="1" x14ac:dyDescent="0.3">
      <c r="B66" s="1"/>
      <c r="C66" s="390">
        <v>3</v>
      </c>
      <c r="D66" s="432" t="s">
        <v>61</v>
      </c>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4"/>
      <c r="AD66" s="434"/>
      <c r="AE66" s="435"/>
      <c r="AF66" s="424">
        <f>SUM(AF62,AF64)</f>
        <v>0</v>
      </c>
      <c r="AG66" s="425"/>
      <c r="AH66" s="425"/>
      <c r="AI66" s="425"/>
      <c r="AJ66" s="425"/>
      <c r="AK66" s="425"/>
      <c r="AL66" s="425"/>
      <c r="AM66" s="425"/>
      <c r="AN66" s="426"/>
      <c r="AO66" s="1"/>
      <c r="AP66" s="1"/>
    </row>
    <row r="67" spans="2:49" x14ac:dyDescent="0.3">
      <c r="B67" s="1"/>
      <c r="C67" s="430"/>
      <c r="D67" s="436"/>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437"/>
      <c r="AF67" s="441"/>
      <c r="AG67" s="442"/>
      <c r="AH67" s="442"/>
      <c r="AI67" s="442"/>
      <c r="AJ67" s="442"/>
      <c r="AK67" s="442"/>
      <c r="AL67" s="442"/>
      <c r="AM67" s="442"/>
      <c r="AN67" s="443"/>
      <c r="AO67" s="1"/>
      <c r="AP67" s="1"/>
    </row>
    <row r="68" spans="2:49" ht="12" customHeight="1" x14ac:dyDescent="0.3">
      <c r="B68" s="1"/>
      <c r="C68" s="431"/>
      <c r="D68" s="438"/>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40"/>
      <c r="AF68" s="427"/>
      <c r="AG68" s="428"/>
      <c r="AH68" s="428"/>
      <c r="AI68" s="428"/>
      <c r="AJ68" s="428"/>
      <c r="AK68" s="428"/>
      <c r="AL68" s="428"/>
      <c r="AM68" s="428"/>
      <c r="AN68" s="429"/>
      <c r="AO68" s="1"/>
      <c r="AP68" s="1"/>
    </row>
    <row r="69" spans="2:49" ht="11.25" customHeight="1" x14ac:dyDescent="0.3">
      <c r="B69" s="1"/>
      <c r="C69" s="390">
        <v>4</v>
      </c>
      <c r="D69" s="419" t="s">
        <v>62</v>
      </c>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134"/>
      <c r="AD69" s="134"/>
      <c r="AE69" s="256"/>
      <c r="AF69" s="446">
        <f>SUM(AQ70,AR70)</f>
        <v>0</v>
      </c>
      <c r="AG69" s="447"/>
      <c r="AH69" s="447"/>
      <c r="AI69" s="447"/>
      <c r="AJ69" s="447"/>
      <c r="AK69" s="447"/>
      <c r="AL69" s="447"/>
      <c r="AM69" s="447"/>
      <c r="AN69" s="448"/>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AQ69,2500),0),IF(OR(AA25="2020-2021",AA25="2021-2022",AA25="2022-2023",AA25="2023-2024",AA25="2024-2025",AA25="2025-2026"),IF(AND(MROUND(AF66,10)&lt;=500000,MROUND(AF66,10)&lt;&gt;0),IF(AQ69&lt;=12500, AQ69,12500),0),0))))</f>
        <v>0</v>
      </c>
      <c r="AU69" s="7"/>
    </row>
    <row r="70" spans="2:49" ht="12.75" customHeight="1" x14ac:dyDescent="0.3">
      <c r="B70" s="1"/>
      <c r="C70" s="391"/>
      <c r="D70" s="421"/>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3"/>
      <c r="AF70" s="449"/>
      <c r="AG70" s="450"/>
      <c r="AH70" s="450"/>
      <c r="AI70" s="450"/>
      <c r="AJ70" s="450"/>
      <c r="AK70" s="450"/>
      <c r="AL70" s="450"/>
      <c r="AM70" s="450"/>
      <c r="AN70" s="451"/>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0">
        <v>5</v>
      </c>
      <c r="D71" s="419" t="s">
        <v>63</v>
      </c>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134"/>
      <c r="AD71" s="134"/>
      <c r="AE71" s="256"/>
      <c r="AF71" s="424">
        <f>SUM(AQ72,AR72)</f>
        <v>0</v>
      </c>
      <c r="AG71" s="425"/>
      <c r="AH71" s="425"/>
      <c r="AI71" s="425"/>
      <c r="AJ71" s="425"/>
      <c r="AK71" s="425"/>
      <c r="AL71" s="425"/>
      <c r="AM71" s="425"/>
      <c r="AN71" s="426"/>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AQ71,2500),0),IF(OR(AA25="2020-2021",AA25="2021-2022",AA25="2022-2023",AA25="2023-2024",AA25="2024-2025",AA25="2025-2026"),IF(AND(MROUND(AF62,10)&lt;=500000,MROUND(AF62,10)&lt;&gt;0),IF(AQ71&lt;=12500, AQ71,12500),0),0)))),0)</f>
        <v>0</v>
      </c>
    </row>
    <row r="72" spans="2:49" ht="12.75" customHeight="1" x14ac:dyDescent="0.3">
      <c r="B72" s="1"/>
      <c r="C72" s="391"/>
      <c r="D72" s="421"/>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427"/>
      <c r="AG72" s="428"/>
      <c r="AH72" s="428"/>
      <c r="AI72" s="428"/>
      <c r="AJ72" s="428"/>
      <c r="AK72" s="428"/>
      <c r="AL72" s="428"/>
      <c r="AM72" s="428"/>
      <c r="AN72" s="429"/>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0">
        <v>6</v>
      </c>
      <c r="D73" s="432" t="s">
        <v>64</v>
      </c>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4"/>
      <c r="AD73" s="434"/>
      <c r="AE73" s="435"/>
      <c r="AF73" s="424">
        <f>ABS(AF69-AF71)</f>
        <v>0</v>
      </c>
      <c r="AG73" s="425"/>
      <c r="AH73" s="425"/>
      <c r="AI73" s="425"/>
      <c r="AJ73" s="425"/>
      <c r="AK73" s="425"/>
      <c r="AL73" s="425"/>
      <c r="AM73" s="425"/>
      <c r="AN73" s="426"/>
      <c r="AO73" s="1"/>
      <c r="AP73" s="1"/>
    </row>
    <row r="74" spans="2:49" x14ac:dyDescent="0.3">
      <c r="B74" s="1"/>
      <c r="C74" s="430"/>
      <c r="D74" s="436"/>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437"/>
      <c r="AF74" s="441"/>
      <c r="AG74" s="442"/>
      <c r="AH74" s="442"/>
      <c r="AI74" s="442"/>
      <c r="AJ74" s="442"/>
      <c r="AK74" s="442"/>
      <c r="AL74" s="442"/>
      <c r="AM74" s="442"/>
      <c r="AN74" s="443"/>
      <c r="AO74" s="1"/>
      <c r="AP74" s="1"/>
    </row>
    <row r="75" spans="2:49" ht="11.25" customHeight="1" x14ac:dyDescent="0.3">
      <c r="B75" s="1"/>
      <c r="C75" s="431"/>
      <c r="D75" s="438"/>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40"/>
      <c r="AF75" s="427"/>
      <c r="AG75" s="428"/>
      <c r="AH75" s="428"/>
      <c r="AI75" s="428"/>
      <c r="AJ75" s="428"/>
      <c r="AK75" s="428"/>
      <c r="AL75" s="428"/>
      <c r="AM75" s="428"/>
      <c r="AN75" s="429"/>
      <c r="AO75" s="1"/>
      <c r="AP75" s="1"/>
    </row>
    <row r="76" spans="2:49" ht="9" customHeight="1" x14ac:dyDescent="0.3">
      <c r="B76" s="1"/>
      <c r="C76" s="390">
        <v>7</v>
      </c>
      <c r="D76" s="432" t="s">
        <v>65</v>
      </c>
      <c r="E76" s="433"/>
      <c r="F76" s="433"/>
      <c r="G76" s="433"/>
      <c r="H76" s="433"/>
      <c r="I76" s="433"/>
      <c r="J76" s="433"/>
      <c r="K76" s="433"/>
      <c r="L76" s="433"/>
      <c r="M76" s="433"/>
      <c r="N76" s="433"/>
      <c r="O76" s="433"/>
      <c r="P76" s="433"/>
      <c r="Q76" s="433"/>
      <c r="R76" s="433"/>
      <c r="S76" s="433"/>
      <c r="T76" s="433"/>
      <c r="U76" s="433"/>
      <c r="V76" s="433"/>
      <c r="W76" s="433"/>
      <c r="X76" s="433"/>
      <c r="Y76" s="433"/>
      <c r="Z76" s="433"/>
      <c r="AA76" s="433"/>
      <c r="AB76" s="433"/>
      <c r="AC76" s="434"/>
      <c r="AD76" s="434"/>
      <c r="AE76" s="435"/>
      <c r="AF76" s="424">
        <f>AK102</f>
        <v>0</v>
      </c>
      <c r="AG76" s="425"/>
      <c r="AH76" s="425"/>
      <c r="AI76" s="425"/>
      <c r="AJ76" s="425"/>
      <c r="AK76" s="425"/>
      <c r="AL76" s="425"/>
      <c r="AM76" s="425"/>
      <c r="AN76" s="426"/>
      <c r="AO76" s="1"/>
      <c r="AP76" s="1"/>
    </row>
    <row r="77" spans="2:49" x14ac:dyDescent="0.3">
      <c r="B77" s="1"/>
      <c r="C77" s="430"/>
      <c r="D77" s="436"/>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437"/>
      <c r="AF77" s="441"/>
      <c r="AG77" s="442"/>
      <c r="AH77" s="442"/>
      <c r="AI77" s="442"/>
      <c r="AJ77" s="442"/>
      <c r="AK77" s="442"/>
      <c r="AL77" s="442"/>
      <c r="AM77" s="442"/>
      <c r="AN77" s="443"/>
      <c r="AO77" s="1"/>
      <c r="AP77" s="1"/>
    </row>
    <row r="78" spans="2:49" ht="12" customHeight="1" x14ac:dyDescent="0.3">
      <c r="B78" s="1"/>
      <c r="C78" s="431"/>
      <c r="D78" s="438"/>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40"/>
      <c r="AF78" s="427"/>
      <c r="AG78" s="428"/>
      <c r="AH78" s="428"/>
      <c r="AI78" s="428"/>
      <c r="AJ78" s="428"/>
      <c r="AK78" s="428"/>
      <c r="AL78" s="428"/>
      <c r="AM78" s="428"/>
      <c r="AN78" s="429"/>
      <c r="AO78" s="1"/>
      <c r="AP78" s="1"/>
    </row>
    <row r="79" spans="2:49" x14ac:dyDescent="0.3">
      <c r="B79" s="1"/>
      <c r="C79" s="390">
        <v>8</v>
      </c>
      <c r="D79" s="432" t="s">
        <v>227</v>
      </c>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4"/>
      <c r="AD79" s="434"/>
      <c r="AE79" s="435"/>
      <c r="AF79" s="424">
        <f>IF(AND(AF27=M102,AF73&gt;AF76),ABS(AF73-AF76),0)</f>
        <v>0</v>
      </c>
      <c r="AG79" s="425"/>
      <c r="AH79" s="425"/>
      <c r="AI79" s="425"/>
      <c r="AJ79" s="425"/>
      <c r="AK79" s="425"/>
      <c r="AL79" s="425"/>
      <c r="AM79" s="425"/>
      <c r="AN79" s="426"/>
      <c r="AO79" s="1"/>
      <c r="AP79" s="1"/>
      <c r="AQ79" s="33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36"/>
      <c r="AS79" s="336"/>
      <c r="AT79" s="336"/>
      <c r="AU79" s="336"/>
      <c r="AV79" s="336"/>
      <c r="AW79" s="175"/>
    </row>
    <row r="80" spans="2:49" x14ac:dyDescent="0.3">
      <c r="B80" s="1"/>
      <c r="C80" s="430"/>
      <c r="D80" s="436"/>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437"/>
      <c r="AF80" s="441"/>
      <c r="AG80" s="442"/>
      <c r="AH80" s="442"/>
      <c r="AI80" s="442"/>
      <c r="AJ80" s="442"/>
      <c r="AK80" s="442"/>
      <c r="AL80" s="442"/>
      <c r="AM80" s="442"/>
      <c r="AN80" s="443"/>
      <c r="AO80" s="37"/>
      <c r="AP80" s="38"/>
      <c r="AQ80" s="336"/>
      <c r="AR80" s="336"/>
      <c r="AS80" s="336"/>
      <c r="AT80" s="336"/>
      <c r="AU80" s="336"/>
      <c r="AV80" s="336"/>
      <c r="AW80" s="175"/>
    </row>
    <row r="81" spans="2:53" x14ac:dyDescent="0.3">
      <c r="B81" s="1"/>
      <c r="C81" s="431"/>
      <c r="D81" s="438"/>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40"/>
      <c r="AF81" s="427"/>
      <c r="AG81" s="428"/>
      <c r="AH81" s="428"/>
      <c r="AI81" s="428"/>
      <c r="AJ81" s="428"/>
      <c r="AK81" s="428"/>
      <c r="AL81" s="428"/>
      <c r="AM81" s="428"/>
      <c r="AN81" s="429"/>
      <c r="AO81" s="39"/>
      <c r="AP81" s="38"/>
      <c r="AQ81" s="336"/>
      <c r="AR81" s="336"/>
      <c r="AS81" s="336"/>
      <c r="AT81" s="336"/>
      <c r="AU81" s="336"/>
      <c r="AV81" s="336"/>
      <c r="AW81" s="175"/>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5" t="s">
        <v>66</v>
      </c>
      <c r="R83" s="385"/>
      <c r="S83" s="385"/>
      <c r="T83" s="385"/>
      <c r="U83" s="385"/>
      <c r="V83" s="385"/>
      <c r="W83" s="385"/>
      <c r="X83" s="385"/>
      <c r="Y83" s="1"/>
      <c r="Z83" s="73" t="s">
        <v>125</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47" t="s">
        <v>67</v>
      </c>
      <c r="P84" s="347"/>
      <c r="Q84" s="347"/>
      <c r="R84" s="347"/>
      <c r="S84" s="347"/>
      <c r="T84" s="347"/>
      <c r="U84" s="347"/>
      <c r="V84" s="347"/>
      <c r="W84" s="347"/>
      <c r="X84" s="347"/>
      <c r="Y84" s="347"/>
      <c r="Z84" s="347"/>
      <c r="AA84" s="347"/>
      <c r="AB84" s="1"/>
      <c r="AC84" s="1"/>
      <c r="AD84" s="1"/>
      <c r="AE84" s="1"/>
      <c r="AF84" s="1"/>
      <c r="AG84" s="1"/>
      <c r="AH84" s="1"/>
      <c r="AI84" s="1"/>
      <c r="AJ84" s="1"/>
      <c r="AK84" s="1"/>
      <c r="AL84" s="1"/>
      <c r="AM84" s="1"/>
      <c r="AN84" s="1"/>
      <c r="AO84" s="1"/>
      <c r="AP84" s="1"/>
    </row>
    <row r="85" spans="2:53" ht="15" customHeight="1" x14ac:dyDescent="0.3">
      <c r="B85" s="469" t="s">
        <v>212</v>
      </c>
      <c r="C85" s="470"/>
      <c r="D85" s="470"/>
      <c r="E85" s="470"/>
      <c r="F85" s="471"/>
      <c r="G85" s="469" t="s">
        <v>68</v>
      </c>
      <c r="H85" s="478"/>
      <c r="I85" s="478"/>
      <c r="J85" s="478"/>
      <c r="K85" s="478"/>
      <c r="L85" s="479"/>
      <c r="M85" s="486" t="s">
        <v>78</v>
      </c>
      <c r="N85" s="487"/>
      <c r="O85" s="487"/>
      <c r="P85" s="487"/>
      <c r="Q85" s="487"/>
      <c r="R85" s="488"/>
      <c r="S85" s="469" t="s">
        <v>79</v>
      </c>
      <c r="T85" s="478"/>
      <c r="U85" s="478"/>
      <c r="V85" s="478"/>
      <c r="W85" s="478"/>
      <c r="X85" s="479"/>
      <c r="Y85" s="469" t="s">
        <v>69</v>
      </c>
      <c r="Z85" s="478"/>
      <c r="AA85" s="478"/>
      <c r="AB85" s="478"/>
      <c r="AC85" s="478"/>
      <c r="AD85" s="479"/>
      <c r="AE85" s="495" t="s">
        <v>70</v>
      </c>
      <c r="AF85" s="478"/>
      <c r="AG85" s="478"/>
      <c r="AH85" s="478"/>
      <c r="AI85" s="478"/>
      <c r="AJ85" s="479"/>
      <c r="AK85" s="496" t="s">
        <v>71</v>
      </c>
      <c r="AL85" s="478"/>
      <c r="AM85" s="478"/>
      <c r="AN85" s="478"/>
      <c r="AO85" s="478"/>
      <c r="AP85" s="479"/>
    </row>
    <row r="86" spans="2:53" x14ac:dyDescent="0.3">
      <c r="B86" s="472"/>
      <c r="C86" s="473"/>
      <c r="D86" s="473"/>
      <c r="E86" s="473"/>
      <c r="F86" s="474"/>
      <c r="G86" s="480"/>
      <c r="H86" s="481"/>
      <c r="I86" s="481"/>
      <c r="J86" s="481"/>
      <c r="K86" s="481"/>
      <c r="L86" s="482"/>
      <c r="M86" s="489"/>
      <c r="N86" s="490"/>
      <c r="O86" s="490"/>
      <c r="P86" s="490"/>
      <c r="Q86" s="490"/>
      <c r="R86" s="491"/>
      <c r="S86" s="480"/>
      <c r="T86" s="481"/>
      <c r="U86" s="481"/>
      <c r="V86" s="481"/>
      <c r="W86" s="481"/>
      <c r="X86" s="482"/>
      <c r="Y86" s="480"/>
      <c r="Z86" s="481"/>
      <c r="AA86" s="481"/>
      <c r="AB86" s="481"/>
      <c r="AC86" s="481"/>
      <c r="AD86" s="482"/>
      <c r="AE86" s="480"/>
      <c r="AF86" s="481"/>
      <c r="AG86" s="481"/>
      <c r="AH86" s="481"/>
      <c r="AI86" s="481"/>
      <c r="AJ86" s="482"/>
      <c r="AK86" s="480"/>
      <c r="AL86" s="481"/>
      <c r="AM86" s="481"/>
      <c r="AN86" s="481"/>
      <c r="AO86" s="481"/>
      <c r="AP86" s="482"/>
    </row>
    <row r="87" spans="2:53" x14ac:dyDescent="0.3">
      <c r="B87" s="472"/>
      <c r="C87" s="473"/>
      <c r="D87" s="473"/>
      <c r="E87" s="473"/>
      <c r="F87" s="474"/>
      <c r="G87" s="480"/>
      <c r="H87" s="481"/>
      <c r="I87" s="481"/>
      <c r="J87" s="481"/>
      <c r="K87" s="481"/>
      <c r="L87" s="482"/>
      <c r="M87" s="489"/>
      <c r="N87" s="490"/>
      <c r="O87" s="490"/>
      <c r="P87" s="490"/>
      <c r="Q87" s="490"/>
      <c r="R87" s="491"/>
      <c r="S87" s="480"/>
      <c r="T87" s="481"/>
      <c r="U87" s="481"/>
      <c r="V87" s="481"/>
      <c r="W87" s="481"/>
      <c r="X87" s="482"/>
      <c r="Y87" s="480"/>
      <c r="Z87" s="481"/>
      <c r="AA87" s="481"/>
      <c r="AB87" s="481"/>
      <c r="AC87" s="481"/>
      <c r="AD87" s="482"/>
      <c r="AE87" s="480"/>
      <c r="AF87" s="481"/>
      <c r="AG87" s="481"/>
      <c r="AH87" s="481"/>
      <c r="AI87" s="481"/>
      <c r="AJ87" s="482"/>
      <c r="AK87" s="480"/>
      <c r="AL87" s="481"/>
      <c r="AM87" s="481"/>
      <c r="AN87" s="481"/>
      <c r="AO87" s="481"/>
      <c r="AP87" s="482"/>
    </row>
    <row r="88" spans="2:53" x14ac:dyDescent="0.3">
      <c r="B88" s="472"/>
      <c r="C88" s="473"/>
      <c r="D88" s="473"/>
      <c r="E88" s="473"/>
      <c r="F88" s="474"/>
      <c r="G88" s="480"/>
      <c r="H88" s="481"/>
      <c r="I88" s="481"/>
      <c r="J88" s="481"/>
      <c r="K88" s="481"/>
      <c r="L88" s="482"/>
      <c r="M88" s="489"/>
      <c r="N88" s="490"/>
      <c r="O88" s="490"/>
      <c r="P88" s="490"/>
      <c r="Q88" s="490"/>
      <c r="R88" s="491"/>
      <c r="S88" s="480"/>
      <c r="T88" s="481"/>
      <c r="U88" s="481"/>
      <c r="V88" s="481"/>
      <c r="W88" s="481"/>
      <c r="X88" s="482"/>
      <c r="Y88" s="480"/>
      <c r="Z88" s="481"/>
      <c r="AA88" s="481"/>
      <c r="AB88" s="481"/>
      <c r="AC88" s="481"/>
      <c r="AD88" s="482"/>
      <c r="AE88" s="480"/>
      <c r="AF88" s="481"/>
      <c r="AG88" s="481"/>
      <c r="AH88" s="481"/>
      <c r="AI88" s="481"/>
      <c r="AJ88" s="482"/>
      <c r="AK88" s="480"/>
      <c r="AL88" s="481"/>
      <c r="AM88" s="481"/>
      <c r="AN88" s="481"/>
      <c r="AO88" s="481"/>
      <c r="AP88" s="482"/>
    </row>
    <row r="89" spans="2:53" x14ac:dyDescent="0.3">
      <c r="B89" s="472"/>
      <c r="C89" s="473"/>
      <c r="D89" s="473"/>
      <c r="E89" s="473"/>
      <c r="F89" s="474"/>
      <c r="G89" s="480"/>
      <c r="H89" s="481"/>
      <c r="I89" s="481"/>
      <c r="J89" s="481"/>
      <c r="K89" s="481"/>
      <c r="L89" s="482"/>
      <c r="M89" s="489"/>
      <c r="N89" s="490"/>
      <c r="O89" s="490"/>
      <c r="P89" s="490"/>
      <c r="Q89" s="490"/>
      <c r="R89" s="491"/>
      <c r="S89" s="480"/>
      <c r="T89" s="481"/>
      <c r="U89" s="481"/>
      <c r="V89" s="481"/>
      <c r="W89" s="481"/>
      <c r="X89" s="482"/>
      <c r="Y89" s="480"/>
      <c r="Z89" s="481"/>
      <c r="AA89" s="481"/>
      <c r="AB89" s="481"/>
      <c r="AC89" s="481"/>
      <c r="AD89" s="482"/>
      <c r="AE89" s="480"/>
      <c r="AF89" s="481"/>
      <c r="AG89" s="481"/>
      <c r="AH89" s="481"/>
      <c r="AI89" s="481"/>
      <c r="AJ89" s="482"/>
      <c r="AK89" s="480"/>
      <c r="AL89" s="481"/>
      <c r="AM89" s="481"/>
      <c r="AN89" s="481"/>
      <c r="AO89" s="481"/>
      <c r="AP89" s="482"/>
    </row>
    <row r="90" spans="2:53" ht="105" customHeight="1" x14ac:dyDescent="0.3">
      <c r="B90" s="475"/>
      <c r="C90" s="476"/>
      <c r="D90" s="476"/>
      <c r="E90" s="476"/>
      <c r="F90" s="477"/>
      <c r="G90" s="483"/>
      <c r="H90" s="484"/>
      <c r="I90" s="484"/>
      <c r="J90" s="484"/>
      <c r="K90" s="484"/>
      <c r="L90" s="485"/>
      <c r="M90" s="492"/>
      <c r="N90" s="493"/>
      <c r="O90" s="493"/>
      <c r="P90" s="493"/>
      <c r="Q90" s="493"/>
      <c r="R90" s="494"/>
      <c r="S90" s="483"/>
      <c r="T90" s="484"/>
      <c r="U90" s="484"/>
      <c r="V90" s="484"/>
      <c r="W90" s="484"/>
      <c r="X90" s="485"/>
      <c r="Y90" s="483"/>
      <c r="Z90" s="484"/>
      <c r="AA90" s="484"/>
      <c r="AB90" s="484"/>
      <c r="AC90" s="484"/>
      <c r="AD90" s="485"/>
      <c r="AE90" s="483"/>
      <c r="AF90" s="484"/>
      <c r="AG90" s="484"/>
      <c r="AH90" s="484"/>
      <c r="AI90" s="484"/>
      <c r="AJ90" s="485"/>
      <c r="AK90" s="483"/>
      <c r="AL90" s="484"/>
      <c r="AM90" s="484"/>
      <c r="AN90" s="484"/>
      <c r="AO90" s="484"/>
      <c r="AP90" s="485"/>
    </row>
    <row r="91" spans="2:53" x14ac:dyDescent="0.3">
      <c r="B91" s="465">
        <v>1</v>
      </c>
      <c r="C91" s="263"/>
      <c r="D91" s="263"/>
      <c r="E91" s="263"/>
      <c r="F91" s="278"/>
      <c r="G91" s="465">
        <v>2</v>
      </c>
      <c r="H91" s="263"/>
      <c r="I91" s="263"/>
      <c r="J91" s="263"/>
      <c r="K91" s="263"/>
      <c r="L91" s="278"/>
      <c r="M91" s="465">
        <v>3</v>
      </c>
      <c r="N91" s="263"/>
      <c r="O91" s="263"/>
      <c r="P91" s="263"/>
      <c r="Q91" s="263"/>
      <c r="R91" s="278"/>
      <c r="S91" s="465">
        <v>4</v>
      </c>
      <c r="T91" s="466"/>
      <c r="U91" s="466"/>
      <c r="V91" s="466"/>
      <c r="W91" s="466"/>
      <c r="X91" s="467"/>
      <c r="Y91" s="465">
        <v>5</v>
      </c>
      <c r="Z91" s="263"/>
      <c r="AA91" s="263"/>
      <c r="AB91" s="263"/>
      <c r="AC91" s="263"/>
      <c r="AD91" s="278"/>
      <c r="AE91" s="465">
        <v>6</v>
      </c>
      <c r="AF91" s="466"/>
      <c r="AG91" s="466"/>
      <c r="AH91" s="466"/>
      <c r="AI91" s="466"/>
      <c r="AJ91" s="278"/>
      <c r="AK91" s="468">
        <v>7</v>
      </c>
      <c r="AL91" s="263"/>
      <c r="AM91" s="263"/>
      <c r="AN91" s="263"/>
      <c r="AO91" s="263"/>
      <c r="AP91" s="278"/>
    </row>
    <row r="92" spans="2:53" x14ac:dyDescent="0.3">
      <c r="B92" s="452"/>
      <c r="C92" s="453"/>
      <c r="D92" s="453"/>
      <c r="E92" s="453"/>
      <c r="F92" s="454"/>
      <c r="G92" s="455"/>
      <c r="H92" s="456"/>
      <c r="I92" s="456"/>
      <c r="J92" s="456"/>
      <c r="K92" s="456"/>
      <c r="L92" s="457"/>
      <c r="M92" s="455"/>
      <c r="N92" s="456"/>
      <c r="O92" s="456"/>
      <c r="P92" s="456"/>
      <c r="Q92" s="456"/>
      <c r="R92" s="457"/>
      <c r="S92" s="458">
        <f>SUM(G92,M92)</f>
        <v>0</v>
      </c>
      <c r="T92" s="459"/>
      <c r="U92" s="459"/>
      <c r="V92" s="459"/>
      <c r="W92" s="459"/>
      <c r="X92" s="460"/>
      <c r="Y92" s="458">
        <f>MROUND(SUM(AV92,AW92),10)</f>
        <v>0</v>
      </c>
      <c r="Z92" s="459"/>
      <c r="AA92" s="459"/>
      <c r="AB92" s="459"/>
      <c r="AC92" s="459"/>
      <c r="AD92" s="460"/>
      <c r="AE92" s="458">
        <f>SUM(AZ92,BA92)</f>
        <v>0</v>
      </c>
      <c r="AF92" s="459"/>
      <c r="AG92" s="459"/>
      <c r="AH92" s="459"/>
      <c r="AI92" s="459"/>
      <c r="AJ92" s="461"/>
      <c r="AK92" s="462">
        <f>ABS(AE92-Y92)</f>
        <v>0</v>
      </c>
      <c r="AL92" s="463"/>
      <c r="AM92" s="463"/>
      <c r="AN92" s="463"/>
      <c r="AO92" s="463"/>
      <c r="AP92" s="464"/>
      <c r="AQ92" s="36"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Information'!$AG$21="Yes"),AND(B92="2024-2025",'Basic Information'!$AG$24="Yes")),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Information'!$AG$24="No"),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Information'!$AG$21="Yes"),AND(B92="2024-2025",'Basic Information'!$AG$24="Yes")),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Information'!$AG$24="No"),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Information'!$AG$21="Yes"),AND(B92="2024-2025",'Basic Information'!$AG$24="Yes")),IF(AND(MROUND(S92,10)&lt;=500000,MROUND(S92,10)&lt;&gt;0),IF(AX92&lt;=12500, AX92,12500),0), IF(OR(AND(B92="2023-2024",'Basic Information'!$AG$21="No")),IF(AND(MROUND(S92,10)&lt;=700000,MROUND(S92,10)&lt;&gt;0),IF(AX92&lt;=25000, AX92,25000),IF(AND(MROUND(S92,10)&lt;&gt;0,(MROUND(S92,10)-700000)&lt;= AX92), AX92-(MROUND(S92,10)-700000),0)), IF(OR(AND(B92="2024-2025",'Basic Information'!$AG$24="No")),IF(AND(MROUND(S92,10)&lt;=700000,MROUND(S92,10)&lt;&gt;0),IF(AX92&lt;=20000, AX92,20000),IF(AND(MROUND(S92,10)&lt;&gt;0,(MROUND(S92,10)-700000)&lt;= AX92), AX92-(MROUND(S92,10)-700000),0)),0))))))</f>
        <v>0</v>
      </c>
      <c r="AZ92" s="6">
        <f t="shared" ref="AZ92:AZ101" si="0">IF((AX92&lt;AY92),0,ROUND(ABS(AX92- AY92),0))</f>
        <v>0</v>
      </c>
      <c r="BA92" s="6">
        <f>IF(OR(B92="2005-2006",B92="2006-2007"),ROUND(AZ92*0.02,0),IF(OR(B92="2018-2019",B92="2019-2020",B92="2020-2021",B92="2021-2022",B92="2022-2023",B92="2023-2024",B92="2024-2025"),ROUND(AZ92*0.04,0),ROUND(AZ92*0.03,0)))</f>
        <v>0</v>
      </c>
    </row>
    <row r="93" spans="2:53" x14ac:dyDescent="0.3">
      <c r="B93" s="452"/>
      <c r="C93" s="453"/>
      <c r="D93" s="453"/>
      <c r="E93" s="453"/>
      <c r="F93" s="454"/>
      <c r="G93" s="455"/>
      <c r="H93" s="456"/>
      <c r="I93" s="456"/>
      <c r="J93" s="456"/>
      <c r="K93" s="456"/>
      <c r="L93" s="457"/>
      <c r="M93" s="455"/>
      <c r="N93" s="456"/>
      <c r="O93" s="456"/>
      <c r="P93" s="456"/>
      <c r="Q93" s="456"/>
      <c r="R93" s="457"/>
      <c r="S93" s="458">
        <f t="shared" ref="S93:S101" si="1">SUM(G93,M93)</f>
        <v>0</v>
      </c>
      <c r="T93" s="459"/>
      <c r="U93" s="459"/>
      <c r="V93" s="459"/>
      <c r="W93" s="459"/>
      <c r="X93" s="460"/>
      <c r="Y93" s="458">
        <f t="shared" ref="Y93:Y101" si="2">MROUND(SUM(AV93,AW93),10)</f>
        <v>0</v>
      </c>
      <c r="Z93" s="459"/>
      <c r="AA93" s="459"/>
      <c r="AB93" s="459"/>
      <c r="AC93" s="459"/>
      <c r="AD93" s="460"/>
      <c r="AE93" s="458">
        <f t="shared" ref="AE93:AE101" si="3">SUM(AZ93,BA93)</f>
        <v>0</v>
      </c>
      <c r="AF93" s="459"/>
      <c r="AG93" s="459"/>
      <c r="AH93" s="459"/>
      <c r="AI93" s="459"/>
      <c r="AJ93" s="461"/>
      <c r="AK93" s="462">
        <f t="shared" ref="AK93:AK101" si="4">ABS(AE93-Y93)</f>
        <v>0</v>
      </c>
      <c r="AL93" s="463"/>
      <c r="AM93" s="463"/>
      <c r="AN93" s="463"/>
      <c r="AO93" s="463"/>
      <c r="AP93" s="464"/>
      <c r="AQ93" s="36"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Information'!$AG$21="Yes"),AND(B93="2024-2025",'Basic Information'!$AG$24="Yes")),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Information'!$AG$24="No"),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Information'!$AG$21="Yes"),AND(B93="2024-2025",'Basic Information'!$AG$24="Yes")),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Information'!$AG$24="No"),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Information'!$AG$21="Yes"),AND(B93="2024-2025",'Basic Information'!$AG$24="Yes")),IF(AND(MROUND(S93,10)&lt;=500000,MROUND(S93,10)&lt;&gt;0),IF(AX93&lt;=12500, AX93,12500),0), IF(OR(AND(B93="2023-2024",'Basic Information'!$AG$21="No")),IF(AND(MROUND(S93,10)&lt;=700000,MROUND(S93,10)&lt;&gt;0),IF(AX93&lt;=25000, AX93,25000),IF(AND(MROUND(S93,10)&lt;&gt;0,(MROUND(S93,10)-700000)&lt;= AX93), AX93-(MROUND(S93,10)-700000),0)), IF(OR(AND(B93="2024-2025",'Basic Information'!$AG$24="No")),IF(AND(MROUND(S93,10)&lt;=700000,MROUND(S93,10)&lt;&gt;0),IF(AX93&lt;=20000, AX93,20000),IF(AND(MROUND(S93,10)&lt;&gt;0,(MROUND(S93,10)-700000)&lt;= AX93), AX93-(MROUND(S93,10)-700000),0)),0))))))</f>
        <v>0</v>
      </c>
      <c r="AZ93" s="6">
        <f t="shared" si="0"/>
        <v>0</v>
      </c>
      <c r="BA93" s="6">
        <f t="shared" ref="BA93:BA101" si="7">IF(OR(B93="2005-2006",B93="2006-2007"),ROUND(AZ93*0.02,0),IF(OR(B93="2018-2019",B93="2019-2020",B93="2020-2021",B93="2021-2022",B93="2022-2023",B93="2023-2024",B93="2024-2025"),ROUND(AZ93*0.04,0),ROUND(AZ93*0.03,0)))</f>
        <v>0</v>
      </c>
    </row>
    <row r="94" spans="2:53" x14ac:dyDescent="0.3">
      <c r="B94" s="452"/>
      <c r="C94" s="453"/>
      <c r="D94" s="453"/>
      <c r="E94" s="453"/>
      <c r="F94" s="454"/>
      <c r="G94" s="455"/>
      <c r="H94" s="456"/>
      <c r="I94" s="456"/>
      <c r="J94" s="456"/>
      <c r="K94" s="456"/>
      <c r="L94" s="457"/>
      <c r="M94" s="455"/>
      <c r="N94" s="456"/>
      <c r="O94" s="456"/>
      <c r="P94" s="456"/>
      <c r="Q94" s="456"/>
      <c r="R94" s="457"/>
      <c r="S94" s="458">
        <f t="shared" si="1"/>
        <v>0</v>
      </c>
      <c r="T94" s="459"/>
      <c r="U94" s="459"/>
      <c r="V94" s="459"/>
      <c r="W94" s="459"/>
      <c r="X94" s="460"/>
      <c r="Y94" s="458">
        <f t="shared" si="2"/>
        <v>0</v>
      </c>
      <c r="Z94" s="459"/>
      <c r="AA94" s="459"/>
      <c r="AB94" s="459"/>
      <c r="AC94" s="459"/>
      <c r="AD94" s="460"/>
      <c r="AE94" s="458">
        <f t="shared" si="3"/>
        <v>0</v>
      </c>
      <c r="AF94" s="459"/>
      <c r="AG94" s="459"/>
      <c r="AH94" s="459"/>
      <c r="AI94" s="459"/>
      <c r="AJ94" s="461"/>
      <c r="AK94" s="462">
        <f t="shared" si="4"/>
        <v>0</v>
      </c>
      <c r="AL94" s="463"/>
      <c r="AM94" s="463"/>
      <c r="AN94" s="463"/>
      <c r="AO94" s="463"/>
      <c r="AP94" s="464"/>
      <c r="AQ94" s="36"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Information'!$AG$21="Yes"),AND(B94="2024-2025",'Basic Information'!$AG$24="Yes")),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Information'!$AG$24="No"),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Information'!$AG$21="Yes"),AND(B94="2024-2025",'Basic Information'!$AG$24="Yes")),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Information'!$AG$24="No"),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Information'!$AG$21="Yes"),AND(B94="2024-2025",'Basic Information'!$AG$24="Yes")),IF(AND(MROUND(S94,10)&lt;=500000,MROUND(S94,10)&lt;&gt;0),IF(AX94&lt;=12500, AX94,12500),0), IF(OR(AND(B94="2023-2024",'Basic Information'!$AG$21="No")),IF(AND(MROUND(S94,10)&lt;=700000,MROUND(S94,10)&lt;&gt;0),IF(AX94&lt;=25000, AX94,25000),IF(AND(MROUND(S94,10)&lt;&gt;0,(MROUND(S94,10)-700000)&lt;= AX94), AX94-(MROUND(S94,10)-700000),0)), IF(OR(AND(B94="2024-2025",'Basic Information'!$AG$24="No")),IF(AND(MROUND(S94,10)&lt;=700000,MROUND(S94,10)&lt;&gt;0),IF(AX94&lt;=20000, AX94,20000),IF(AND(MROUND(S94,10)&lt;&gt;0,(MROUND(S94,10)-700000)&lt;= AX94), AX94-(MROUND(S94,10)-700000),0)),0))))))</f>
        <v>0</v>
      </c>
      <c r="AZ94" s="6">
        <f t="shared" si="0"/>
        <v>0</v>
      </c>
      <c r="BA94" s="6">
        <f t="shared" si="7"/>
        <v>0</v>
      </c>
    </row>
    <row r="95" spans="2:53" x14ac:dyDescent="0.3">
      <c r="B95" s="452"/>
      <c r="C95" s="453"/>
      <c r="D95" s="453"/>
      <c r="E95" s="453"/>
      <c r="F95" s="454"/>
      <c r="G95" s="455"/>
      <c r="H95" s="456"/>
      <c r="I95" s="456"/>
      <c r="J95" s="456"/>
      <c r="K95" s="456"/>
      <c r="L95" s="457"/>
      <c r="M95" s="455"/>
      <c r="N95" s="456"/>
      <c r="O95" s="456"/>
      <c r="P95" s="456"/>
      <c r="Q95" s="456"/>
      <c r="R95" s="457"/>
      <c r="S95" s="458">
        <f t="shared" si="1"/>
        <v>0</v>
      </c>
      <c r="T95" s="459"/>
      <c r="U95" s="459"/>
      <c r="V95" s="459"/>
      <c r="W95" s="459"/>
      <c r="X95" s="460"/>
      <c r="Y95" s="458">
        <f t="shared" si="2"/>
        <v>0</v>
      </c>
      <c r="Z95" s="459"/>
      <c r="AA95" s="459"/>
      <c r="AB95" s="459"/>
      <c r="AC95" s="459"/>
      <c r="AD95" s="460"/>
      <c r="AE95" s="458">
        <f t="shared" si="3"/>
        <v>0</v>
      </c>
      <c r="AF95" s="459"/>
      <c r="AG95" s="459"/>
      <c r="AH95" s="459"/>
      <c r="AI95" s="459"/>
      <c r="AJ95" s="461"/>
      <c r="AK95" s="462">
        <f t="shared" si="4"/>
        <v>0</v>
      </c>
      <c r="AL95" s="463"/>
      <c r="AM95" s="463"/>
      <c r="AN95" s="463"/>
      <c r="AO95" s="463"/>
      <c r="AP95" s="464"/>
      <c r="AQ95" s="36" t="str">
        <f t="shared" ref="AQ95:AQ101" si="8">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Information'!$AG$21="Yes"),AND(B95="2024-2025",'Basic Information'!$AG$24="Yes")),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Information'!$AG$24="No"),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Information'!$AG$21="Yes"),AND(B95="2024-2025",'Basic Information'!$AG$24="Yes")),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Information'!$AG$24="No"),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Information'!$AG$21="Yes"),AND(B95="2024-2025",'Basic Information'!$AG$24="Yes")),IF(AND(MROUND(S95,10)&lt;=500000,MROUND(S95,10)&lt;&gt;0),IF(AX95&lt;=12500, AX95,12500),0), IF(OR(AND(B95="2023-2024",'Basic Information'!$AG$21="No")),IF(AND(MROUND(S95,10)&lt;=700000,MROUND(S95,10)&lt;&gt;0),IF(AX95&lt;=25000, AX95,25000),IF(AND(MROUND(S95,10)&lt;&gt;0,(MROUND(S95,10)-700000)&lt;= AX95), AX95-(MROUND(S95,10)-700000),0)), IF(OR(AND(B95="2024-2025",'Basic Information'!$AG$24="No")),IF(AND(MROUND(S95,10)&lt;=700000,MROUND(S95,10)&lt;&gt;0),IF(AX95&lt;=20000, AX95,20000),IF(AND(MROUND(S95,10)&lt;&gt;0,(MROUND(S95,10)-700000)&lt;= AX95), AX95-(MROUND(S95,10)-700000),0)),0))))))</f>
        <v>0</v>
      </c>
      <c r="AZ95" s="6">
        <f t="shared" si="0"/>
        <v>0</v>
      </c>
      <c r="BA95" s="6">
        <f t="shared" si="7"/>
        <v>0</v>
      </c>
    </row>
    <row r="96" spans="2:53" x14ac:dyDescent="0.3">
      <c r="B96" s="452"/>
      <c r="C96" s="453"/>
      <c r="D96" s="453"/>
      <c r="E96" s="453"/>
      <c r="F96" s="454"/>
      <c r="G96" s="455"/>
      <c r="H96" s="456"/>
      <c r="I96" s="456"/>
      <c r="J96" s="456"/>
      <c r="K96" s="456"/>
      <c r="L96" s="457"/>
      <c r="M96" s="455"/>
      <c r="N96" s="456"/>
      <c r="O96" s="456"/>
      <c r="P96" s="456"/>
      <c r="Q96" s="456"/>
      <c r="R96" s="457"/>
      <c r="S96" s="458">
        <f t="shared" si="1"/>
        <v>0</v>
      </c>
      <c r="T96" s="459"/>
      <c r="U96" s="459"/>
      <c r="V96" s="459"/>
      <c r="W96" s="459"/>
      <c r="X96" s="460"/>
      <c r="Y96" s="458">
        <f t="shared" si="2"/>
        <v>0</v>
      </c>
      <c r="Z96" s="459"/>
      <c r="AA96" s="459"/>
      <c r="AB96" s="459"/>
      <c r="AC96" s="459"/>
      <c r="AD96" s="460"/>
      <c r="AE96" s="458">
        <f t="shared" si="3"/>
        <v>0</v>
      </c>
      <c r="AF96" s="459"/>
      <c r="AG96" s="459"/>
      <c r="AH96" s="459"/>
      <c r="AI96" s="459"/>
      <c r="AJ96" s="461"/>
      <c r="AK96" s="462">
        <f t="shared" si="4"/>
        <v>0</v>
      </c>
      <c r="AL96" s="463"/>
      <c r="AM96" s="463"/>
      <c r="AN96" s="463"/>
      <c r="AO96" s="463"/>
      <c r="AP96" s="464"/>
      <c r="AQ96" s="36" t="str">
        <f t="shared" si="8"/>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Information'!$AG$21="Yes"),AND(B96="2024-2025",'Basic Information'!$AG$24="Yes")),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Information'!$AG$24="No"),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Information'!$AG$21="Yes"),AND(B96="2024-2025",'Basic Information'!$AG$24="Yes")),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Information'!$AG$24="No"),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Information'!$AG$21="Yes"),AND(B96="2024-2025",'Basic Information'!$AG$24="Yes")),IF(AND(MROUND(S96,10)&lt;=500000,MROUND(S96,10)&lt;&gt;0),IF(AX96&lt;=12500, AX96,12500),0), IF(OR(AND(B96="2023-2024",'Basic Information'!$AG$21="No")),IF(AND(MROUND(S96,10)&lt;=700000,MROUND(S96,10)&lt;&gt;0),IF(AX96&lt;=25000, AX96,25000),IF(AND(MROUND(S96,10)&lt;&gt;0,(MROUND(S96,10)-700000)&lt;= AX96), AX96-(MROUND(S96,10)-700000),0)), IF(OR(AND(B96="2024-2025",'Basic Information'!$AG$24="No")),IF(AND(MROUND(S96,10)&lt;=700000,MROUND(S96,10)&lt;&gt;0),IF(AX96&lt;=20000, AX96,20000),IF(AND(MROUND(S96,10)&lt;&gt;0,(MROUND(S96,10)-700000)&lt;= AX96), AX96-(MROUND(S96,10)-700000),0)),0))))))</f>
        <v>0</v>
      </c>
      <c r="AZ96" s="6">
        <f t="shared" si="0"/>
        <v>0</v>
      </c>
      <c r="BA96" s="6">
        <f t="shared" si="7"/>
        <v>0</v>
      </c>
    </row>
    <row r="97" spans="2:53" x14ac:dyDescent="0.3">
      <c r="B97" s="452"/>
      <c r="C97" s="453"/>
      <c r="D97" s="453"/>
      <c r="E97" s="453"/>
      <c r="F97" s="454"/>
      <c r="G97" s="455"/>
      <c r="H97" s="456"/>
      <c r="I97" s="456"/>
      <c r="J97" s="456"/>
      <c r="K97" s="456"/>
      <c r="L97" s="457"/>
      <c r="M97" s="455"/>
      <c r="N97" s="456"/>
      <c r="O97" s="456"/>
      <c r="P97" s="456"/>
      <c r="Q97" s="456"/>
      <c r="R97" s="457"/>
      <c r="S97" s="458">
        <f t="shared" si="1"/>
        <v>0</v>
      </c>
      <c r="T97" s="459"/>
      <c r="U97" s="459"/>
      <c r="V97" s="459"/>
      <c r="W97" s="459"/>
      <c r="X97" s="460"/>
      <c r="Y97" s="458">
        <f t="shared" si="2"/>
        <v>0</v>
      </c>
      <c r="Z97" s="459"/>
      <c r="AA97" s="459"/>
      <c r="AB97" s="459"/>
      <c r="AC97" s="459"/>
      <c r="AD97" s="460"/>
      <c r="AE97" s="458">
        <f t="shared" si="3"/>
        <v>0</v>
      </c>
      <c r="AF97" s="459"/>
      <c r="AG97" s="459"/>
      <c r="AH97" s="459"/>
      <c r="AI97" s="459"/>
      <c r="AJ97" s="461"/>
      <c r="AK97" s="462">
        <f t="shared" si="4"/>
        <v>0</v>
      </c>
      <c r="AL97" s="463"/>
      <c r="AM97" s="463"/>
      <c r="AN97" s="463"/>
      <c r="AO97" s="463"/>
      <c r="AP97" s="464"/>
      <c r="AQ97" s="36" t="str">
        <f t="shared" si="8"/>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Information'!$AG$21="Yes"),AND(B97="2024-2025",'Basic Information'!$AG$24="Yes")),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Information'!$AG$24="No"),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Information'!$AG$21="Yes"),AND(B97="2024-2025",'Basic Information'!$AG$24="Yes")),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Information'!$AG$24="No"),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Information'!$AG$21="Yes"),AND(B97="2024-2025",'Basic Information'!$AG$24="Yes")),IF(AND(MROUND(S97,10)&lt;=500000,MROUND(S97,10)&lt;&gt;0),IF(AX97&lt;=12500, AX97,12500),0), IF(OR(AND(B97="2023-2024",'Basic Information'!$AG$21="No")),IF(AND(MROUND(S97,10)&lt;=700000,MROUND(S97,10)&lt;&gt;0),IF(AX97&lt;=25000, AX97,25000),IF(AND(MROUND(S97,10)&lt;&gt;0,(MROUND(S97,10)-700000)&lt;= AX97), AX97-(MROUND(S97,10)-700000),0)), IF(OR(AND(B97="2024-2025",'Basic Information'!$AG$24="No")),IF(AND(MROUND(S97,10)&lt;=700000,MROUND(S97,10)&lt;&gt;0),IF(AX97&lt;=20000, AX97,20000),IF(AND(MROUND(S97,10)&lt;&gt;0,(MROUND(S97,10)-700000)&lt;= AX97), AX97-(MROUND(S97,10)-700000),0)),0))))))</f>
        <v>0</v>
      </c>
      <c r="AZ97" s="6">
        <f t="shared" si="0"/>
        <v>0</v>
      </c>
      <c r="BA97" s="6">
        <f t="shared" si="7"/>
        <v>0</v>
      </c>
    </row>
    <row r="98" spans="2:53" x14ac:dyDescent="0.3">
      <c r="B98" s="452"/>
      <c r="C98" s="453"/>
      <c r="D98" s="453"/>
      <c r="E98" s="453"/>
      <c r="F98" s="454"/>
      <c r="G98" s="455"/>
      <c r="H98" s="456"/>
      <c r="I98" s="456"/>
      <c r="J98" s="456"/>
      <c r="K98" s="456"/>
      <c r="L98" s="457"/>
      <c r="M98" s="455"/>
      <c r="N98" s="456"/>
      <c r="O98" s="456"/>
      <c r="P98" s="456"/>
      <c r="Q98" s="456"/>
      <c r="R98" s="457"/>
      <c r="S98" s="458">
        <f t="shared" si="1"/>
        <v>0</v>
      </c>
      <c r="T98" s="459"/>
      <c r="U98" s="459"/>
      <c r="V98" s="459"/>
      <c r="W98" s="459"/>
      <c r="X98" s="460"/>
      <c r="Y98" s="458">
        <f t="shared" si="2"/>
        <v>0</v>
      </c>
      <c r="Z98" s="459"/>
      <c r="AA98" s="459"/>
      <c r="AB98" s="459"/>
      <c r="AC98" s="459"/>
      <c r="AD98" s="460"/>
      <c r="AE98" s="458">
        <f t="shared" si="3"/>
        <v>0</v>
      </c>
      <c r="AF98" s="459"/>
      <c r="AG98" s="459"/>
      <c r="AH98" s="459"/>
      <c r="AI98" s="459"/>
      <c r="AJ98" s="461"/>
      <c r="AK98" s="462">
        <f t="shared" si="4"/>
        <v>0</v>
      </c>
      <c r="AL98" s="463"/>
      <c r="AM98" s="463"/>
      <c r="AN98" s="463"/>
      <c r="AO98" s="463"/>
      <c r="AP98" s="464"/>
      <c r="AQ98" s="36" t="str">
        <f t="shared" si="8"/>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Information'!$AG$21="Yes"),AND(B98="2024-2025",'Basic Information'!$AG$24="Yes")),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Information'!$AG$24="No"),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Information'!$AG$21="Yes"),AND(B98="2024-2025",'Basic Information'!$AG$24="Yes")),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Information'!$AG$24="No"),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Information'!$AG$21="Yes"),AND(B98="2024-2025",'Basic Information'!$AG$24="Yes")),IF(AND(MROUND(S98,10)&lt;=500000,MROUND(S98,10)&lt;&gt;0),IF(AX98&lt;=12500, AX98,12500),0), IF(OR(AND(B98="2023-2024",'Basic Information'!$AG$21="No")),IF(AND(MROUND(S98,10)&lt;=700000,MROUND(S98,10)&lt;&gt;0),IF(AX98&lt;=25000, AX98,25000),IF(AND(MROUND(S98,10)&lt;&gt;0,(MROUND(S98,10)-700000)&lt;= AX98), AX98-(MROUND(S98,10)-700000),0)), IF(OR(AND(B98="2024-2025",'Basic Information'!$AG$24="No")),IF(AND(MROUND(S98,10)&lt;=700000,MROUND(S98,10)&lt;&gt;0),IF(AX98&lt;=20000, AX98,20000),IF(AND(MROUND(S98,10)&lt;&gt;0,(MROUND(S98,10)-700000)&lt;= AX98), AX98-(MROUND(S98,10)-700000),0)),0))))))</f>
        <v>0</v>
      </c>
      <c r="AZ98" s="6">
        <f t="shared" si="0"/>
        <v>0</v>
      </c>
      <c r="BA98" s="6">
        <f t="shared" si="7"/>
        <v>0</v>
      </c>
    </row>
    <row r="99" spans="2:53" x14ac:dyDescent="0.3">
      <c r="B99" s="452"/>
      <c r="C99" s="453"/>
      <c r="D99" s="453"/>
      <c r="E99" s="453"/>
      <c r="F99" s="454"/>
      <c r="G99" s="455"/>
      <c r="H99" s="456"/>
      <c r="I99" s="456"/>
      <c r="J99" s="456"/>
      <c r="K99" s="456"/>
      <c r="L99" s="457"/>
      <c r="M99" s="455"/>
      <c r="N99" s="456"/>
      <c r="O99" s="456"/>
      <c r="P99" s="456"/>
      <c r="Q99" s="456"/>
      <c r="R99" s="457"/>
      <c r="S99" s="458">
        <f t="shared" si="1"/>
        <v>0</v>
      </c>
      <c r="T99" s="459"/>
      <c r="U99" s="459"/>
      <c r="V99" s="459"/>
      <c r="W99" s="459"/>
      <c r="X99" s="460"/>
      <c r="Y99" s="458">
        <f t="shared" si="2"/>
        <v>0</v>
      </c>
      <c r="Z99" s="459"/>
      <c r="AA99" s="459"/>
      <c r="AB99" s="459"/>
      <c r="AC99" s="459"/>
      <c r="AD99" s="460"/>
      <c r="AE99" s="458">
        <f t="shared" si="3"/>
        <v>0</v>
      </c>
      <c r="AF99" s="459"/>
      <c r="AG99" s="459"/>
      <c r="AH99" s="459"/>
      <c r="AI99" s="459"/>
      <c r="AJ99" s="461"/>
      <c r="AK99" s="462">
        <f t="shared" si="4"/>
        <v>0</v>
      </c>
      <c r="AL99" s="463"/>
      <c r="AM99" s="463"/>
      <c r="AN99" s="463"/>
      <c r="AO99" s="463"/>
      <c r="AP99" s="464"/>
      <c r="AQ99" s="36" t="str">
        <f t="shared" si="8"/>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Information'!$AG$21="Yes"),AND(B99="2024-2025",'Basic Information'!$AG$24="Yes")),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Information'!$AG$24="No"),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Information'!$AG$21="Yes"),AND(B99="2024-2025",'Basic Information'!$AG$24="Yes")),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Information'!$AG$24="No"),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Information'!$AG$21="Yes"),AND(B99="2024-2025",'Basic Information'!$AG$24="Yes")),IF(AND(MROUND(S99,10)&lt;=500000,MROUND(S99,10)&lt;&gt;0),IF(AX99&lt;=12500, AX99,12500),0), IF(OR(AND(B99="2023-2024",'Basic Information'!$AG$21="No")),IF(AND(MROUND(S99,10)&lt;=700000,MROUND(S99,10)&lt;&gt;0),IF(AX99&lt;=25000, AX99,25000),IF(AND(MROUND(S99,10)&lt;&gt;0,(MROUND(S99,10)-700000)&lt;= AX99), AX99-(MROUND(S99,10)-700000),0)), IF(OR(AND(B99="2024-2025",'Basic Information'!$AG$24="No")),IF(AND(MROUND(S99,10)&lt;=700000,MROUND(S99,10)&lt;&gt;0),IF(AX99&lt;=20000, AX99,20000),IF(AND(MROUND(S99,10)&lt;&gt;0,(MROUND(S99,10)-700000)&lt;= AX99), AX99-(MROUND(S99,10)-700000),0)),0))))))</f>
        <v>0</v>
      </c>
      <c r="AZ99" s="6">
        <f t="shared" si="0"/>
        <v>0</v>
      </c>
      <c r="BA99" s="6">
        <f t="shared" si="7"/>
        <v>0</v>
      </c>
    </row>
    <row r="100" spans="2:53" x14ac:dyDescent="0.3">
      <c r="B100" s="452"/>
      <c r="C100" s="453"/>
      <c r="D100" s="453"/>
      <c r="E100" s="453"/>
      <c r="F100" s="454"/>
      <c r="G100" s="455"/>
      <c r="H100" s="456"/>
      <c r="I100" s="456"/>
      <c r="J100" s="456"/>
      <c r="K100" s="456"/>
      <c r="L100" s="457"/>
      <c r="M100" s="455"/>
      <c r="N100" s="456"/>
      <c r="O100" s="456"/>
      <c r="P100" s="456"/>
      <c r="Q100" s="456"/>
      <c r="R100" s="457"/>
      <c r="S100" s="458">
        <f t="shared" si="1"/>
        <v>0</v>
      </c>
      <c r="T100" s="459"/>
      <c r="U100" s="459"/>
      <c r="V100" s="459"/>
      <c r="W100" s="459"/>
      <c r="X100" s="460"/>
      <c r="Y100" s="458">
        <f t="shared" si="2"/>
        <v>0</v>
      </c>
      <c r="Z100" s="459"/>
      <c r="AA100" s="459"/>
      <c r="AB100" s="459"/>
      <c r="AC100" s="459"/>
      <c r="AD100" s="460"/>
      <c r="AE100" s="458">
        <f t="shared" si="3"/>
        <v>0</v>
      </c>
      <c r="AF100" s="459"/>
      <c r="AG100" s="459"/>
      <c r="AH100" s="459"/>
      <c r="AI100" s="459"/>
      <c r="AJ100" s="461"/>
      <c r="AK100" s="462">
        <f t="shared" si="4"/>
        <v>0</v>
      </c>
      <c r="AL100" s="463"/>
      <c r="AM100" s="463"/>
      <c r="AN100" s="463"/>
      <c r="AO100" s="463"/>
      <c r="AP100" s="464"/>
      <c r="AQ100" s="36" t="str">
        <f t="shared" si="8"/>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Information'!$AG$21="Yes"),AND(B100="2024-2025",'Basic Information'!$AG$24="Yes")),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Information'!$AG$24="No"),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Information'!$AG$21="Yes"),AND(B100="2024-2025",'Basic Information'!$AG$24="Yes")),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Information'!$AG$24="No"),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Information'!$AG$21="Yes"),AND(B100="2024-2025",'Basic Information'!$AG$24="Yes")),IF(AND(MROUND(S100,10)&lt;=500000,MROUND(S100,10)&lt;&gt;0),IF(AX100&lt;=12500, AX100,12500),0), IF(OR(AND(B100="2023-2024",'Basic Information'!$AG$21="No")),IF(AND(MROUND(S100,10)&lt;=700000,MROUND(S100,10)&lt;&gt;0),IF(AX100&lt;=25000, AX100,25000),IF(AND(MROUND(S100,10)&lt;&gt;0,(MROUND(S100,10)-700000)&lt;= AX100), AX100-(MROUND(S100,10)-700000),0)), IF(OR(AND(B100="2024-2025",'Basic Information'!$AG$24="No")),IF(AND(MROUND(S100,10)&lt;=700000,MROUND(S100,10)&lt;&gt;0),IF(AX100&lt;=20000, AX100,20000),IF(AND(MROUND(S100,10)&lt;&gt;0,(MROUND(S100,10)-700000)&lt;= AX100), AX100-(MROUND(S100,10)-700000),0)),0))))))</f>
        <v>0</v>
      </c>
      <c r="AZ100" s="6">
        <f t="shared" si="0"/>
        <v>0</v>
      </c>
      <c r="BA100" s="6">
        <f t="shared" si="7"/>
        <v>0</v>
      </c>
    </row>
    <row r="101" spans="2:53" x14ac:dyDescent="0.3">
      <c r="B101" s="452"/>
      <c r="C101" s="453"/>
      <c r="D101" s="453"/>
      <c r="E101" s="453"/>
      <c r="F101" s="454"/>
      <c r="G101" s="455"/>
      <c r="H101" s="456"/>
      <c r="I101" s="456"/>
      <c r="J101" s="456"/>
      <c r="K101" s="456"/>
      <c r="L101" s="457"/>
      <c r="M101" s="455"/>
      <c r="N101" s="456"/>
      <c r="O101" s="456"/>
      <c r="P101" s="456"/>
      <c r="Q101" s="456"/>
      <c r="R101" s="457"/>
      <c r="S101" s="458">
        <f t="shared" si="1"/>
        <v>0</v>
      </c>
      <c r="T101" s="459"/>
      <c r="U101" s="459"/>
      <c r="V101" s="459"/>
      <c r="W101" s="459"/>
      <c r="X101" s="460"/>
      <c r="Y101" s="458">
        <f t="shared" si="2"/>
        <v>0</v>
      </c>
      <c r="Z101" s="459"/>
      <c r="AA101" s="459"/>
      <c r="AB101" s="459"/>
      <c r="AC101" s="459"/>
      <c r="AD101" s="460"/>
      <c r="AE101" s="458">
        <f t="shared" si="3"/>
        <v>0</v>
      </c>
      <c r="AF101" s="459"/>
      <c r="AG101" s="459"/>
      <c r="AH101" s="459"/>
      <c r="AI101" s="459"/>
      <c r="AJ101" s="461"/>
      <c r="AK101" s="462">
        <f t="shared" si="4"/>
        <v>0</v>
      </c>
      <c r="AL101" s="463"/>
      <c r="AM101" s="463"/>
      <c r="AN101" s="463"/>
      <c r="AO101" s="463"/>
      <c r="AP101" s="464"/>
      <c r="AQ101" s="36" t="str">
        <f t="shared" si="8"/>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Information'!$AG$21="Yes"),AND(B101="2024-2025",'Basic Information'!$AG$24="Yes")),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Information'!$AG$24="No"),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Information'!$AG$21="Yes"),AND(B101="2024-2025",'Basic Information'!$AG$24="Yes")),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Information'!$AG$24="No"),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Information'!$AG$21="Yes"),AND(B101="2024-2025",'Basic Information'!$AG$24="Yes")),IF(AND(MROUND(S101,10)&lt;=500000,MROUND(S101,10)&lt;&gt;0),IF(AX101&lt;=12500, AX101,12500),0), IF(OR(AND(B101="2023-2024",'Basic Information'!$AG$21="No")),IF(AND(MROUND(S101,10)&lt;=700000,MROUND(S101,10)&lt;&gt;0),IF(AX101&lt;=25000, AX101,25000),IF(AND(MROUND(S101,10)&lt;&gt;0,(MROUND(S101,10)-700000)&lt;= AX101), AX101-(MROUND(S101,10)-700000),0)), IF(OR(AND(B101="2024-2025",'Basic Information'!$AG$24="No")),IF(AND(MROUND(S101,10)&lt;=700000,MROUND(S101,10)&lt;&gt;0),IF(AX101&lt;=20000, AX101,20000),IF(AND(MROUND(S101,10)&lt;&gt;0,(MROUND(S101,10)-700000)&lt;= AX101), AX101-(MROUND(S101,10)-700000),0)),0))))))</f>
        <v>0</v>
      </c>
      <c r="AZ101" s="6">
        <f t="shared" si="0"/>
        <v>0</v>
      </c>
      <c r="BA101" s="6">
        <f t="shared" si="7"/>
        <v>0</v>
      </c>
    </row>
    <row r="102" spans="2:53" x14ac:dyDescent="0.3">
      <c r="B102" s="497" t="s">
        <v>72</v>
      </c>
      <c r="C102" s="498"/>
      <c r="D102" s="498"/>
      <c r="E102" s="498"/>
      <c r="F102" s="499"/>
      <c r="G102" s="458">
        <f>SUM(G92:G101)</f>
        <v>0</v>
      </c>
      <c r="H102" s="459"/>
      <c r="I102" s="459"/>
      <c r="J102" s="459"/>
      <c r="K102" s="459"/>
      <c r="L102" s="460"/>
      <c r="M102" s="458">
        <f>SUM(M92:M101)</f>
        <v>0</v>
      </c>
      <c r="N102" s="459"/>
      <c r="O102" s="459"/>
      <c r="P102" s="459"/>
      <c r="Q102" s="459"/>
      <c r="R102" s="460"/>
      <c r="S102" s="458">
        <f>SUM(S92:S101)</f>
        <v>0</v>
      </c>
      <c r="T102" s="459"/>
      <c r="U102" s="459"/>
      <c r="V102" s="459"/>
      <c r="W102" s="459"/>
      <c r="X102" s="460"/>
      <c r="Y102" s="458">
        <f>SUM(Y92:Y101)</f>
        <v>0</v>
      </c>
      <c r="Z102" s="459"/>
      <c r="AA102" s="459"/>
      <c r="AB102" s="459"/>
      <c r="AC102" s="459"/>
      <c r="AD102" s="460"/>
      <c r="AE102" s="458">
        <f>SUM(AE92:AE101)</f>
        <v>0</v>
      </c>
      <c r="AF102" s="459"/>
      <c r="AG102" s="459"/>
      <c r="AH102" s="459"/>
      <c r="AI102" s="459"/>
      <c r="AJ102" s="461"/>
      <c r="AK102" s="462">
        <f>SUM(AK92:AK101)</f>
        <v>0</v>
      </c>
      <c r="AL102" s="463"/>
      <c r="AM102" s="463"/>
      <c r="AN102" s="463"/>
      <c r="AO102" s="463"/>
      <c r="AP102" s="464"/>
      <c r="AQ102" s="33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75"/>
      <c r="AS102" s="175"/>
      <c r="AT102" s="175"/>
      <c r="AU102" s="175"/>
      <c r="AV102" s="175"/>
      <c r="AW102" s="175"/>
      <c r="AX102" s="82"/>
    </row>
    <row r="103" spans="2:53" ht="30.75" customHeight="1" x14ac:dyDescent="0.3">
      <c r="B103" s="8"/>
      <c r="AQ103" s="175"/>
      <c r="AR103" s="175"/>
      <c r="AS103" s="175"/>
      <c r="AT103" s="175"/>
      <c r="AU103" s="175"/>
      <c r="AV103" s="175"/>
      <c r="AW103" s="175"/>
      <c r="AX103" s="82"/>
    </row>
    <row r="104" spans="2:53" x14ac:dyDescent="0.3">
      <c r="B104" s="342" t="s">
        <v>73</v>
      </c>
      <c r="C104" s="342"/>
      <c r="D104" s="342"/>
      <c r="E104" s="342"/>
      <c r="F104" s="342"/>
      <c r="G104" s="342"/>
      <c r="H104" s="342"/>
      <c r="I104" s="342"/>
      <c r="J104" s="342"/>
      <c r="K104" s="342"/>
      <c r="L104" s="8" t="s">
        <v>5</v>
      </c>
      <c r="M104" s="343" t="str">
        <f>PROPER(D45)</f>
        <v xml:space="preserve"> </v>
      </c>
      <c r="N104" s="343"/>
      <c r="O104" s="343"/>
      <c r="P104" s="343"/>
      <c r="Q104" s="343"/>
      <c r="R104" s="343"/>
      <c r="S104" s="343"/>
      <c r="T104" s="343"/>
      <c r="U104" s="343"/>
      <c r="V104" s="343"/>
      <c r="W104" s="343"/>
      <c r="X104" s="343"/>
      <c r="Y104" s="343"/>
      <c r="Z104" s="343"/>
      <c r="AB104" s="344" t="s">
        <v>51</v>
      </c>
      <c r="AC104" s="344"/>
      <c r="AD104" s="344"/>
      <c r="AE104" s="344"/>
      <c r="AF104" s="344"/>
      <c r="AG104" s="344"/>
      <c r="AH104" s="344"/>
      <c r="AI104" s="344"/>
      <c r="AJ104" s="344"/>
      <c r="AK104" s="344"/>
      <c r="AL104" s="344"/>
      <c r="AM104" s="344"/>
    </row>
  </sheetData>
  <sheetProtection algorithmName="SHA-512" hashValue="uLSToR00r+1xpJfJxW9WJ8mafqc8iFdRVj6gvWU1PL5+ItZqUgC/q3bWAWkVqVXLsnrF8s5sbbkoKFPv1CSOsQ==" saltValue="UfzUEywbjgxgH3YpbhnhLg==" spinCount="100000" sheet="1" objects="1" scenarios="1" selectLockedCells="1"/>
  <mergeCells count="201">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U14:AN14"/>
    <mergeCell ref="D15:S15"/>
    <mergeCell ref="U15:AN15"/>
    <mergeCell ref="D22:S22"/>
    <mergeCell ref="U22:AN22"/>
    <mergeCell ref="C24:AN24"/>
    <mergeCell ref="D19:S19"/>
    <mergeCell ref="U19:AN19"/>
    <mergeCell ref="D20:S20"/>
    <mergeCell ref="U20:AN20"/>
    <mergeCell ref="D21:S21"/>
    <mergeCell ref="U21:AN21"/>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 xr:uid="{BE4545E2-13E5-444E-8AE2-B582DAC002B3}">
      <formula1>"Select,2025-2026,2024-2025,2023-2024,2022-2023,2021-2022,2020-2021,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177" t="str">
        <f>IF(ISBLANK('Basic Information'!V3),"",UPPER('Basic Information'!V3))</f>
        <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519"/>
      <c r="BG1" s="519"/>
      <c r="BH1" s="519"/>
      <c r="BI1" s="519"/>
      <c r="BJ1" s="520"/>
    </row>
    <row r="2" spans="2:74" ht="18.600000000000001" customHeight="1" x14ac:dyDescent="0.3">
      <c r="B2" s="181" t="s">
        <v>157</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65"/>
      <c r="BG2" s="165"/>
      <c r="BH2" s="165"/>
      <c r="BI2" s="165"/>
      <c r="BJ2" s="512"/>
      <c r="BQ2" s="289" t="s">
        <v>122</v>
      </c>
      <c r="BR2" s="290"/>
      <c r="BS2" s="290"/>
      <c r="BT2" s="290"/>
      <c r="BU2" s="290"/>
    </row>
    <row r="3" spans="2:74" ht="18.600000000000001" customHeight="1" x14ac:dyDescent="0.3">
      <c r="B3" s="185" t="s">
        <v>162</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65"/>
      <c r="BG3" s="165"/>
      <c r="BH3" s="165"/>
      <c r="BI3" s="165"/>
      <c r="BJ3" s="512"/>
      <c r="BQ3" s="290"/>
      <c r="BR3" s="290"/>
      <c r="BS3" s="290"/>
      <c r="BT3" s="290"/>
      <c r="BU3" s="290"/>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10" t="s">
        <v>20</v>
      </c>
      <c r="BR4" s="513"/>
      <c r="BS4" s="513"/>
      <c r="BT4" s="513"/>
      <c r="BU4" s="513"/>
    </row>
    <row r="5" spans="2:74" ht="16.5" customHeight="1" x14ac:dyDescent="0.3">
      <c r="B5" s="267" t="s">
        <v>13</v>
      </c>
      <c r="C5" s="109"/>
      <c r="D5" s="109"/>
      <c r="E5" s="109"/>
      <c r="F5" s="109"/>
      <c r="G5" s="109"/>
      <c r="H5" s="109"/>
      <c r="I5" s="110"/>
      <c r="J5" s="110"/>
      <c r="K5" s="14" t="s">
        <v>5</v>
      </c>
      <c r="L5" s="264" t="str">
        <f>IF(ISBLANK('Basic Information'!L6)," ",PROPER('Basic Information'!L6))</f>
        <v xml:space="preserve"> </v>
      </c>
      <c r="M5" s="514"/>
      <c r="N5" s="514"/>
      <c r="O5" s="514"/>
      <c r="P5" s="514"/>
      <c r="Q5" s="514"/>
      <c r="R5" s="514"/>
      <c r="S5" s="514"/>
      <c r="T5" s="514"/>
      <c r="U5" s="514"/>
      <c r="V5" s="514"/>
      <c r="W5" s="514"/>
      <c r="X5" s="514"/>
      <c r="Y5" s="514"/>
      <c r="Z5" s="514"/>
      <c r="AA5" s="514"/>
      <c r="AB5" s="514"/>
      <c r="AC5" s="514"/>
      <c r="AD5" s="514"/>
      <c r="AE5" s="515"/>
      <c r="AF5" s="29"/>
      <c r="AG5" s="109" t="s">
        <v>105</v>
      </c>
      <c r="AH5" s="110"/>
      <c r="AI5" s="110"/>
      <c r="AJ5" s="110"/>
      <c r="AK5" s="110"/>
      <c r="AL5" s="110"/>
      <c r="AM5" s="14" t="s">
        <v>5</v>
      </c>
      <c r="AN5" s="264" t="str">
        <f>IF(ISBLANK('Basic Information'!AK6)," ",UPPER('Basic Information'!AK6))</f>
        <v xml:space="preserve"> </v>
      </c>
      <c r="AO5" s="265"/>
      <c r="AP5" s="265"/>
      <c r="AQ5" s="265"/>
      <c r="AR5" s="265"/>
      <c r="AS5" s="265"/>
      <c r="AT5" s="265"/>
      <c r="AU5" s="265"/>
      <c r="AV5" s="265"/>
      <c r="AW5" s="265"/>
      <c r="AX5" s="265"/>
      <c r="AY5" s="265"/>
      <c r="AZ5" s="265"/>
      <c r="BA5" s="265"/>
      <c r="BB5" s="265"/>
      <c r="BC5" s="265"/>
      <c r="BD5" s="265"/>
      <c r="BE5" s="266"/>
      <c r="BJ5" s="21"/>
      <c r="BQ5" s="513"/>
      <c r="BR5" s="513"/>
      <c r="BS5" s="513"/>
      <c r="BT5" s="513"/>
      <c r="BU5" s="513"/>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6"/>
      <c r="BR6" s="160" t="s">
        <v>121</v>
      </c>
      <c r="BS6" s="161"/>
      <c r="BT6" s="161"/>
      <c r="BU6" s="161"/>
    </row>
    <row r="7" spans="2:74" ht="16.5" customHeight="1" x14ac:dyDescent="0.35">
      <c r="B7" s="268" t="s">
        <v>15</v>
      </c>
      <c r="C7" s="269"/>
      <c r="D7" s="269"/>
      <c r="E7" s="269"/>
      <c r="F7" s="269"/>
      <c r="G7" s="269"/>
      <c r="H7" s="269"/>
      <c r="I7" s="269"/>
      <c r="J7" s="516"/>
      <c r="K7" s="85" t="s">
        <v>5</v>
      </c>
      <c r="L7" s="264" t="str">
        <f>IF(ISBLANK('Basic Information'!L10)," ",PROPER('Basic Information'!L10))</f>
        <v xml:space="preserve"> </v>
      </c>
      <c r="M7" s="517"/>
      <c r="N7" s="517"/>
      <c r="O7" s="517"/>
      <c r="P7" s="517"/>
      <c r="Q7" s="517"/>
      <c r="R7" s="517"/>
      <c r="S7" s="517"/>
      <c r="T7" s="517"/>
      <c r="U7" s="517"/>
      <c r="V7" s="517"/>
      <c r="W7" s="517"/>
      <c r="X7" s="517"/>
      <c r="Y7" s="517"/>
      <c r="Z7" s="517"/>
      <c r="AA7" s="517"/>
      <c r="AB7" s="517"/>
      <c r="AC7" s="517"/>
      <c r="AD7" s="517"/>
      <c r="AE7" s="518"/>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6"/>
      <c r="BR7" s="161"/>
      <c r="BS7" s="161"/>
      <c r="BT7" s="161"/>
      <c r="BU7" s="161"/>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10" t="s">
        <v>21</v>
      </c>
      <c r="BR8" s="511"/>
      <c r="BS8" s="511"/>
      <c r="BT8" s="511"/>
      <c r="BU8" s="511"/>
    </row>
    <row r="9" spans="2:74" ht="15" customHeight="1" x14ac:dyDescent="0.3">
      <c r="B9" s="135" t="s">
        <v>230</v>
      </c>
      <c r="C9" s="136"/>
      <c r="D9" s="136"/>
      <c r="E9" s="136"/>
      <c r="F9" s="136"/>
      <c r="G9" s="136"/>
      <c r="H9" s="136"/>
      <c r="I9" s="136"/>
      <c r="J9" s="136"/>
      <c r="K9" s="136"/>
      <c r="L9" s="136"/>
      <c r="M9" s="136"/>
      <c r="N9" s="136"/>
      <c r="O9" s="136"/>
      <c r="P9" s="136"/>
      <c r="Q9" s="136"/>
      <c r="R9" s="136"/>
      <c r="S9" s="136"/>
      <c r="T9" s="136"/>
      <c r="U9" s="137"/>
      <c r="V9" s="134"/>
      <c r="W9" s="134"/>
      <c r="X9" s="134"/>
      <c r="Y9" s="134"/>
      <c r="Z9" s="134"/>
      <c r="AA9" s="134"/>
      <c r="AB9" s="134"/>
      <c r="AC9" s="134"/>
      <c r="AD9" s="134"/>
      <c r="AE9" s="134"/>
      <c r="AF9" s="134"/>
      <c r="AG9" s="134"/>
      <c r="AH9" s="134"/>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11"/>
      <c r="BR9" s="511"/>
      <c r="BS9" s="511"/>
      <c r="BT9" s="511"/>
      <c r="BU9" s="511"/>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164" t="s">
        <v>120</v>
      </c>
      <c r="BR10" s="165"/>
      <c r="BS10" s="165"/>
      <c r="BT10" s="165"/>
      <c r="BU10" s="165"/>
      <c r="BV10" s="165"/>
    </row>
    <row r="11" spans="2:74" ht="15" customHeight="1" x14ac:dyDescent="0.3">
      <c r="B11" s="272" t="s">
        <v>0</v>
      </c>
      <c r="C11" s="349"/>
      <c r="D11" s="349"/>
      <c r="E11" s="349"/>
      <c r="F11" s="349"/>
      <c r="G11" s="349"/>
      <c r="H11" s="349"/>
      <c r="I11" s="349"/>
      <c r="J11" s="349"/>
      <c r="K11" s="145" t="s">
        <v>1</v>
      </c>
      <c r="L11" s="276"/>
      <c r="M11" s="276"/>
      <c r="N11" s="276"/>
      <c r="O11" s="276"/>
      <c r="P11" s="276"/>
      <c r="Q11" s="263"/>
      <c r="R11" s="145" t="s">
        <v>2</v>
      </c>
      <c r="S11" s="263"/>
      <c r="T11" s="263"/>
      <c r="U11" s="263"/>
      <c r="V11" s="263"/>
      <c r="W11" s="263"/>
      <c r="X11" s="278"/>
      <c r="Y11" s="146" t="s">
        <v>3</v>
      </c>
      <c r="Z11" s="263"/>
      <c r="AA11" s="263"/>
      <c r="AB11" s="263"/>
      <c r="AC11" s="263"/>
      <c r="AD11" s="263"/>
      <c r="AE11" s="278"/>
      <c r="AF11" s="146" t="s">
        <v>4</v>
      </c>
      <c r="AG11" s="263"/>
      <c r="AH11" s="263"/>
      <c r="AI11" s="263"/>
      <c r="AJ11" s="263"/>
      <c r="AK11" s="263"/>
      <c r="AL11" s="278"/>
      <c r="BJ11" s="21"/>
      <c r="BQ11" s="165"/>
      <c r="BR11" s="165"/>
      <c r="BS11" s="165"/>
      <c r="BT11" s="165"/>
      <c r="BU11" s="165"/>
      <c r="BV11" s="165"/>
    </row>
    <row r="12" spans="2:74" ht="16.5" customHeight="1" x14ac:dyDescent="0.3">
      <c r="B12" s="233" t="s">
        <v>28</v>
      </c>
      <c r="C12" s="500"/>
      <c r="D12" s="500"/>
      <c r="E12" s="500"/>
      <c r="F12" s="500"/>
      <c r="G12" s="500"/>
      <c r="H12" s="501">
        <v>2025</v>
      </c>
      <c r="I12" s="502"/>
      <c r="J12" s="503"/>
      <c r="K12" s="504">
        <f>IF(ISNUMBER('Income Tax Proforma - Old Schem'!K12),'Income Tax Proforma - Old Schem'!K12,0)</f>
        <v>0</v>
      </c>
      <c r="L12" s="505"/>
      <c r="M12" s="505"/>
      <c r="N12" s="505"/>
      <c r="O12" s="505"/>
      <c r="P12" s="505"/>
      <c r="Q12" s="505"/>
      <c r="R12" s="504">
        <f>IF(ISNUMBER('Income Tax Proforma - Old Schem'!Q12),'Income Tax Proforma - Old Schem'!Q12,0)</f>
        <v>0</v>
      </c>
      <c r="S12" s="505"/>
      <c r="T12" s="505"/>
      <c r="U12" s="505"/>
      <c r="V12" s="505"/>
      <c r="W12" s="505"/>
      <c r="X12" s="506"/>
      <c r="Y12" s="504">
        <f>IF(ISNUMBER('Income Tax Proforma - Old Schem'!W12),'Income Tax Proforma - Old Schem'!W12,0)</f>
        <v>0</v>
      </c>
      <c r="Z12" s="505"/>
      <c r="AA12" s="505"/>
      <c r="AB12" s="505"/>
      <c r="AC12" s="505"/>
      <c r="AD12" s="505"/>
      <c r="AE12" s="505"/>
      <c r="AF12" s="507">
        <f>SUM(K12,R12,Y12)</f>
        <v>0</v>
      </c>
      <c r="AG12" s="508"/>
      <c r="AH12" s="508"/>
      <c r="AI12" s="508"/>
      <c r="AJ12" s="508"/>
      <c r="AK12" s="508"/>
      <c r="AL12" s="509"/>
      <c r="BJ12" s="21"/>
      <c r="BQ12" s="172" t="s">
        <v>36</v>
      </c>
      <c r="BR12" s="173"/>
      <c r="BS12" s="173"/>
      <c r="BT12" s="173"/>
      <c r="BU12" s="173"/>
      <c r="BV12" s="173"/>
    </row>
    <row r="13" spans="2:74" ht="16.5" customHeight="1" x14ac:dyDescent="0.3">
      <c r="B13" s="233" t="s">
        <v>29</v>
      </c>
      <c r="C13" s="500"/>
      <c r="D13" s="500"/>
      <c r="E13" s="500"/>
      <c r="F13" s="500"/>
      <c r="G13" s="500"/>
      <c r="H13" s="501">
        <v>2025</v>
      </c>
      <c r="I13" s="502"/>
      <c r="J13" s="503"/>
      <c r="K13" s="504">
        <f>IF(ISNUMBER('Income Tax Proforma - Old Schem'!K13),'Income Tax Proforma - Old Schem'!K13,0)</f>
        <v>0</v>
      </c>
      <c r="L13" s="505"/>
      <c r="M13" s="505"/>
      <c r="N13" s="505"/>
      <c r="O13" s="505"/>
      <c r="P13" s="505"/>
      <c r="Q13" s="505"/>
      <c r="R13" s="504">
        <f>IF(ISNUMBER('Income Tax Proforma - Old Schem'!Q13),'Income Tax Proforma - Old Schem'!Q13,0)</f>
        <v>0</v>
      </c>
      <c r="S13" s="505"/>
      <c r="T13" s="505"/>
      <c r="U13" s="505"/>
      <c r="V13" s="505"/>
      <c r="W13" s="505"/>
      <c r="X13" s="506"/>
      <c r="Y13" s="504">
        <f>IF(ISNUMBER('Income Tax Proforma - Old Schem'!W13),'Income Tax Proforma - Old Schem'!W13,0)</f>
        <v>0</v>
      </c>
      <c r="Z13" s="505"/>
      <c r="AA13" s="505"/>
      <c r="AB13" s="505"/>
      <c r="AC13" s="505"/>
      <c r="AD13" s="505"/>
      <c r="AE13" s="505"/>
      <c r="AF13" s="507">
        <f t="shared" ref="AF13:AF23" si="0">SUM(K13,R13,Y13)</f>
        <v>0</v>
      </c>
      <c r="AG13" s="508"/>
      <c r="AH13" s="508"/>
      <c r="AI13" s="508"/>
      <c r="AJ13" s="508"/>
      <c r="AK13" s="508"/>
      <c r="AL13" s="509"/>
      <c r="BJ13" s="21"/>
      <c r="BQ13" s="115"/>
      <c r="BR13" s="115"/>
      <c r="BS13" s="115"/>
      <c r="BT13" s="115"/>
      <c r="BU13" s="115"/>
      <c r="BV13" s="115"/>
    </row>
    <row r="14" spans="2:74" ht="16.5" customHeight="1" x14ac:dyDescent="0.3">
      <c r="B14" s="233" t="s">
        <v>30</v>
      </c>
      <c r="C14" s="500"/>
      <c r="D14" s="500"/>
      <c r="E14" s="500"/>
      <c r="F14" s="500"/>
      <c r="G14" s="500"/>
      <c r="H14" s="501">
        <v>2025</v>
      </c>
      <c r="I14" s="502"/>
      <c r="J14" s="503"/>
      <c r="K14" s="504">
        <f>IF(ISNUMBER('Income Tax Proforma - Old Schem'!K14),'Income Tax Proforma - Old Schem'!K14,0)</f>
        <v>0</v>
      </c>
      <c r="L14" s="505"/>
      <c r="M14" s="505"/>
      <c r="N14" s="505"/>
      <c r="O14" s="505"/>
      <c r="P14" s="505"/>
      <c r="Q14" s="505"/>
      <c r="R14" s="504">
        <f>IF(ISNUMBER('Income Tax Proforma - Old Schem'!Q14),'Income Tax Proforma - Old Schem'!Q14,0)</f>
        <v>0</v>
      </c>
      <c r="S14" s="505"/>
      <c r="T14" s="505"/>
      <c r="U14" s="505"/>
      <c r="V14" s="505"/>
      <c r="W14" s="505"/>
      <c r="X14" s="506"/>
      <c r="Y14" s="504">
        <f>IF(ISNUMBER('Income Tax Proforma - Old Schem'!W14),'Income Tax Proforma - Old Schem'!W14,0)</f>
        <v>0</v>
      </c>
      <c r="Z14" s="505"/>
      <c r="AA14" s="505"/>
      <c r="AB14" s="505"/>
      <c r="AC14" s="505"/>
      <c r="AD14" s="505"/>
      <c r="AE14" s="505"/>
      <c r="AF14" s="507">
        <f t="shared" si="0"/>
        <v>0</v>
      </c>
      <c r="AG14" s="508"/>
      <c r="AH14" s="508"/>
      <c r="AI14" s="508"/>
      <c r="AJ14" s="508"/>
      <c r="AK14" s="508"/>
      <c r="AL14" s="509"/>
      <c r="BJ14" s="21"/>
      <c r="BR14" s="166" t="s">
        <v>22</v>
      </c>
      <c r="BS14" s="166"/>
      <c r="BT14" s="166"/>
      <c r="BU14" s="166"/>
      <c r="BV14" s="166"/>
    </row>
    <row r="15" spans="2:74" ht="16.5" customHeight="1" x14ac:dyDescent="0.3">
      <c r="B15" s="233" t="s">
        <v>31</v>
      </c>
      <c r="C15" s="500"/>
      <c r="D15" s="500"/>
      <c r="E15" s="500"/>
      <c r="F15" s="500"/>
      <c r="G15" s="500"/>
      <c r="H15" s="501">
        <v>2025</v>
      </c>
      <c r="I15" s="502"/>
      <c r="J15" s="503"/>
      <c r="K15" s="504">
        <f>IF(ISNUMBER('Income Tax Proforma - Old Schem'!K15),'Income Tax Proforma - Old Schem'!K15,0)</f>
        <v>0</v>
      </c>
      <c r="L15" s="505"/>
      <c r="M15" s="505"/>
      <c r="N15" s="505"/>
      <c r="O15" s="505"/>
      <c r="P15" s="505"/>
      <c r="Q15" s="505"/>
      <c r="R15" s="504">
        <f>IF(ISNUMBER('Income Tax Proforma - Old Schem'!Q15),'Income Tax Proforma - Old Schem'!Q15,0)</f>
        <v>0</v>
      </c>
      <c r="S15" s="505"/>
      <c r="T15" s="505"/>
      <c r="U15" s="505"/>
      <c r="V15" s="505"/>
      <c r="W15" s="505"/>
      <c r="X15" s="506"/>
      <c r="Y15" s="504">
        <f>IF(ISNUMBER('Income Tax Proforma - Old Schem'!W15),'Income Tax Proforma - Old Schem'!W15,0)</f>
        <v>0</v>
      </c>
      <c r="Z15" s="505"/>
      <c r="AA15" s="505"/>
      <c r="AB15" s="505"/>
      <c r="AC15" s="505"/>
      <c r="AD15" s="505"/>
      <c r="AE15" s="505"/>
      <c r="AF15" s="507">
        <f t="shared" si="0"/>
        <v>0</v>
      </c>
      <c r="AG15" s="508"/>
      <c r="AH15" s="508"/>
      <c r="AI15" s="508"/>
      <c r="AJ15" s="508"/>
      <c r="AK15" s="508"/>
      <c r="AL15" s="509"/>
      <c r="BJ15" s="21"/>
    </row>
    <row r="16" spans="2:74" ht="16.5" customHeight="1" x14ac:dyDescent="0.3">
      <c r="B16" s="233" t="s">
        <v>32</v>
      </c>
      <c r="C16" s="500"/>
      <c r="D16" s="500"/>
      <c r="E16" s="500"/>
      <c r="F16" s="500"/>
      <c r="G16" s="500"/>
      <c r="H16" s="501">
        <v>2025</v>
      </c>
      <c r="I16" s="502"/>
      <c r="J16" s="503"/>
      <c r="K16" s="504">
        <f>IF(ISNUMBER('Income Tax Proforma - Old Schem'!K16),'Income Tax Proforma - Old Schem'!K16,0)</f>
        <v>0</v>
      </c>
      <c r="L16" s="505"/>
      <c r="M16" s="505"/>
      <c r="N16" s="505"/>
      <c r="O16" s="505"/>
      <c r="P16" s="505"/>
      <c r="Q16" s="505"/>
      <c r="R16" s="504">
        <f>IF(ISNUMBER('Income Tax Proforma - Old Schem'!Q16),'Income Tax Proforma - Old Schem'!Q16,0)</f>
        <v>0</v>
      </c>
      <c r="S16" s="505"/>
      <c r="T16" s="505"/>
      <c r="U16" s="505"/>
      <c r="V16" s="505"/>
      <c r="W16" s="505"/>
      <c r="X16" s="506"/>
      <c r="Y16" s="504">
        <f>IF(ISNUMBER('Income Tax Proforma - Old Schem'!W16),'Income Tax Proforma - Old Schem'!W16,0)</f>
        <v>0</v>
      </c>
      <c r="Z16" s="505"/>
      <c r="AA16" s="505"/>
      <c r="AB16" s="505"/>
      <c r="AC16" s="505"/>
      <c r="AD16" s="505"/>
      <c r="AE16" s="505"/>
      <c r="AF16" s="507">
        <f t="shared" si="0"/>
        <v>0</v>
      </c>
      <c r="AG16" s="508"/>
      <c r="AH16" s="508"/>
      <c r="AI16" s="508"/>
      <c r="AJ16" s="508"/>
      <c r="AK16" s="508"/>
      <c r="AL16" s="509"/>
      <c r="BJ16" s="21"/>
      <c r="BP16" s="6"/>
      <c r="BQ16" s="170" t="s">
        <v>134</v>
      </c>
      <c r="BR16" s="171"/>
      <c r="BS16" s="171"/>
      <c r="BT16" s="171"/>
      <c r="BU16" s="171"/>
      <c r="BV16" s="171"/>
    </row>
    <row r="17" spans="2:74" ht="16.5" customHeight="1" x14ac:dyDescent="0.3">
      <c r="B17" s="233" t="s">
        <v>33</v>
      </c>
      <c r="C17" s="500"/>
      <c r="D17" s="500"/>
      <c r="E17" s="500"/>
      <c r="F17" s="500"/>
      <c r="G17" s="500"/>
      <c r="H17" s="501">
        <v>2025</v>
      </c>
      <c r="I17" s="502"/>
      <c r="J17" s="503"/>
      <c r="K17" s="504">
        <f>IF(ISNUMBER('Income Tax Proforma - Old Schem'!K17),'Income Tax Proforma - Old Schem'!K17,0)</f>
        <v>0</v>
      </c>
      <c r="L17" s="505"/>
      <c r="M17" s="505"/>
      <c r="N17" s="505"/>
      <c r="O17" s="505"/>
      <c r="P17" s="505"/>
      <c r="Q17" s="505"/>
      <c r="R17" s="504">
        <f>IF(ISNUMBER('Income Tax Proforma - Old Schem'!Q17),'Income Tax Proforma - Old Schem'!Q17,0)</f>
        <v>0</v>
      </c>
      <c r="S17" s="505"/>
      <c r="T17" s="505"/>
      <c r="U17" s="505"/>
      <c r="V17" s="505"/>
      <c r="W17" s="505"/>
      <c r="X17" s="506"/>
      <c r="Y17" s="504">
        <f>IF(ISNUMBER('Income Tax Proforma - Old Schem'!W17),'Income Tax Proforma - Old Schem'!W17,0)</f>
        <v>0</v>
      </c>
      <c r="Z17" s="505"/>
      <c r="AA17" s="505"/>
      <c r="AB17" s="505"/>
      <c r="AC17" s="505"/>
      <c r="AD17" s="505"/>
      <c r="AE17" s="505"/>
      <c r="AF17" s="507">
        <f t="shared" si="0"/>
        <v>0</v>
      </c>
      <c r="AG17" s="508"/>
      <c r="AH17" s="508"/>
      <c r="AI17" s="508"/>
      <c r="AJ17" s="508"/>
      <c r="AK17" s="508"/>
      <c r="AL17" s="509"/>
      <c r="BJ17" s="21"/>
      <c r="BQ17" s="171"/>
      <c r="BR17" s="171"/>
      <c r="BS17" s="171"/>
      <c r="BT17" s="171"/>
      <c r="BU17" s="171"/>
      <c r="BV17" s="171"/>
    </row>
    <row r="18" spans="2:74" ht="16.5" customHeight="1" x14ac:dyDescent="0.3">
      <c r="B18" s="233" t="s">
        <v>24</v>
      </c>
      <c r="C18" s="500"/>
      <c r="D18" s="500"/>
      <c r="E18" s="500"/>
      <c r="F18" s="500"/>
      <c r="G18" s="500"/>
      <c r="H18" s="501">
        <v>2025</v>
      </c>
      <c r="I18" s="502"/>
      <c r="J18" s="503"/>
      <c r="K18" s="504">
        <f>IF(ISNUMBER('Income Tax Proforma - Old Schem'!K18),'Income Tax Proforma - Old Schem'!K18,0)</f>
        <v>0</v>
      </c>
      <c r="L18" s="505"/>
      <c r="M18" s="505"/>
      <c r="N18" s="505"/>
      <c r="O18" s="505"/>
      <c r="P18" s="505"/>
      <c r="Q18" s="505"/>
      <c r="R18" s="504">
        <f>IF(ISNUMBER('Income Tax Proforma - Old Schem'!Q18),'Income Tax Proforma - Old Schem'!Q18,0)</f>
        <v>0</v>
      </c>
      <c r="S18" s="505"/>
      <c r="T18" s="505"/>
      <c r="U18" s="505"/>
      <c r="V18" s="505"/>
      <c r="W18" s="505"/>
      <c r="X18" s="506"/>
      <c r="Y18" s="504">
        <f>IF(ISNUMBER('Income Tax Proforma - Old Schem'!W18),'Income Tax Proforma - Old Schem'!W18,0)</f>
        <v>0</v>
      </c>
      <c r="Z18" s="505"/>
      <c r="AA18" s="505"/>
      <c r="AB18" s="505"/>
      <c r="AC18" s="505"/>
      <c r="AD18" s="505"/>
      <c r="AE18" s="505"/>
      <c r="AF18" s="507">
        <f t="shared" si="0"/>
        <v>0</v>
      </c>
      <c r="AG18" s="508"/>
      <c r="AH18" s="508"/>
      <c r="AI18" s="508"/>
      <c r="AJ18" s="508"/>
      <c r="AK18" s="508"/>
      <c r="AL18" s="509"/>
      <c r="BJ18" s="21"/>
      <c r="BQ18" s="171"/>
      <c r="BR18" s="171"/>
      <c r="BS18" s="171"/>
      <c r="BT18" s="171"/>
      <c r="BU18" s="171"/>
      <c r="BV18" s="171"/>
    </row>
    <row r="19" spans="2:74" ht="16.5" customHeight="1" x14ac:dyDescent="0.3">
      <c r="B19" s="233" t="s">
        <v>34</v>
      </c>
      <c r="C19" s="500"/>
      <c r="D19" s="500"/>
      <c r="E19" s="500"/>
      <c r="F19" s="500"/>
      <c r="G19" s="500"/>
      <c r="H19" s="501">
        <v>2025</v>
      </c>
      <c r="I19" s="502"/>
      <c r="J19" s="503"/>
      <c r="K19" s="504">
        <f>IF(ISNUMBER('Income Tax Proforma - Old Schem'!K19),'Income Tax Proforma - Old Schem'!K19,0)</f>
        <v>0</v>
      </c>
      <c r="L19" s="505"/>
      <c r="M19" s="505"/>
      <c r="N19" s="505"/>
      <c r="O19" s="505"/>
      <c r="P19" s="505"/>
      <c r="Q19" s="505"/>
      <c r="R19" s="504">
        <f>IF(ISNUMBER('Income Tax Proforma - Old Schem'!Q19),'Income Tax Proforma - Old Schem'!Q19,0)</f>
        <v>0</v>
      </c>
      <c r="S19" s="505"/>
      <c r="T19" s="505"/>
      <c r="U19" s="505"/>
      <c r="V19" s="505"/>
      <c r="W19" s="505"/>
      <c r="X19" s="506"/>
      <c r="Y19" s="504">
        <f>IF(ISNUMBER('Income Tax Proforma - Old Schem'!W19),'Income Tax Proforma - Old Schem'!W19,0)</f>
        <v>0</v>
      </c>
      <c r="Z19" s="505"/>
      <c r="AA19" s="505"/>
      <c r="AB19" s="505"/>
      <c r="AC19" s="505"/>
      <c r="AD19" s="505"/>
      <c r="AE19" s="505"/>
      <c r="AF19" s="507">
        <f t="shared" si="0"/>
        <v>0</v>
      </c>
      <c r="AG19" s="508"/>
      <c r="AH19" s="508"/>
      <c r="AI19" s="508"/>
      <c r="AJ19" s="508"/>
      <c r="AK19" s="508"/>
      <c r="AL19" s="509"/>
      <c r="BJ19" s="21"/>
      <c r="BQ19" s="115"/>
      <c r="BR19" s="115"/>
      <c r="BS19" s="115"/>
      <c r="BT19" s="115"/>
      <c r="BU19" s="115"/>
      <c r="BV19" s="115"/>
    </row>
    <row r="20" spans="2:74" ht="16.5" customHeight="1" x14ac:dyDescent="0.3">
      <c r="B20" s="233" t="s">
        <v>35</v>
      </c>
      <c r="C20" s="500"/>
      <c r="D20" s="500"/>
      <c r="E20" s="500"/>
      <c r="F20" s="500"/>
      <c r="G20" s="500"/>
      <c r="H20" s="501">
        <v>2025</v>
      </c>
      <c r="I20" s="502"/>
      <c r="J20" s="503"/>
      <c r="K20" s="504">
        <f>IF(ISNUMBER('Income Tax Proforma - Old Schem'!K20),'Income Tax Proforma - Old Schem'!K20,0)</f>
        <v>0</v>
      </c>
      <c r="L20" s="505"/>
      <c r="M20" s="505"/>
      <c r="N20" s="505"/>
      <c r="O20" s="505"/>
      <c r="P20" s="505"/>
      <c r="Q20" s="505"/>
      <c r="R20" s="504">
        <f>IF(ISNUMBER('Income Tax Proforma - Old Schem'!Q20),'Income Tax Proforma - Old Schem'!Q20,0)</f>
        <v>0</v>
      </c>
      <c r="S20" s="505"/>
      <c r="T20" s="505"/>
      <c r="U20" s="505"/>
      <c r="V20" s="505"/>
      <c r="W20" s="505"/>
      <c r="X20" s="506"/>
      <c r="Y20" s="504">
        <f>IF(ISNUMBER('Income Tax Proforma - Old Schem'!W20),'Income Tax Proforma - Old Schem'!W20,0)</f>
        <v>0</v>
      </c>
      <c r="Z20" s="505"/>
      <c r="AA20" s="505"/>
      <c r="AB20" s="505"/>
      <c r="AC20" s="505"/>
      <c r="AD20" s="505"/>
      <c r="AE20" s="505"/>
      <c r="AF20" s="507">
        <f t="shared" si="0"/>
        <v>0</v>
      </c>
      <c r="AG20" s="508"/>
      <c r="AH20" s="508"/>
      <c r="AI20" s="508"/>
      <c r="AJ20" s="508"/>
      <c r="AK20" s="508"/>
      <c r="AL20" s="509"/>
      <c r="BJ20" s="21"/>
    </row>
    <row r="21" spans="2:74" ht="16.5" customHeight="1" x14ac:dyDescent="0.3">
      <c r="B21" s="233" t="s">
        <v>27</v>
      </c>
      <c r="C21" s="500"/>
      <c r="D21" s="500"/>
      <c r="E21" s="500"/>
      <c r="F21" s="500"/>
      <c r="G21" s="500"/>
      <c r="H21" s="501">
        <v>2025</v>
      </c>
      <c r="I21" s="502"/>
      <c r="J21" s="503"/>
      <c r="K21" s="504">
        <f>IF(ISNUMBER('Income Tax Proforma - Old Schem'!K21),'Income Tax Proforma - Old Schem'!K21,0)</f>
        <v>0</v>
      </c>
      <c r="L21" s="505"/>
      <c r="M21" s="505"/>
      <c r="N21" s="505"/>
      <c r="O21" s="505"/>
      <c r="P21" s="505"/>
      <c r="Q21" s="505"/>
      <c r="R21" s="504">
        <f>IF(ISNUMBER('Income Tax Proforma - Old Schem'!Q21),'Income Tax Proforma - Old Schem'!Q21,0)</f>
        <v>0</v>
      </c>
      <c r="S21" s="505"/>
      <c r="T21" s="505"/>
      <c r="U21" s="505"/>
      <c r="V21" s="505"/>
      <c r="W21" s="505"/>
      <c r="X21" s="506"/>
      <c r="Y21" s="504">
        <f>IF(ISNUMBER('Income Tax Proforma - Old Schem'!W21),'Income Tax Proforma - Old Schem'!W21,0)</f>
        <v>0</v>
      </c>
      <c r="Z21" s="505"/>
      <c r="AA21" s="505"/>
      <c r="AB21" s="505"/>
      <c r="AC21" s="505"/>
      <c r="AD21" s="505"/>
      <c r="AE21" s="505"/>
      <c r="AF21" s="507">
        <f t="shared" si="0"/>
        <v>0</v>
      </c>
      <c r="AG21" s="508"/>
      <c r="AH21" s="508"/>
      <c r="AI21" s="508"/>
      <c r="AJ21" s="508"/>
      <c r="AK21" s="508"/>
      <c r="AL21" s="509"/>
      <c r="BJ21" s="21"/>
      <c r="BR21" s="66"/>
      <c r="BS21" s="67"/>
      <c r="BT21" s="67"/>
    </row>
    <row r="22" spans="2:74" ht="16.5" customHeight="1" x14ac:dyDescent="0.45">
      <c r="B22" s="233" t="s">
        <v>26</v>
      </c>
      <c r="C22" s="500"/>
      <c r="D22" s="500"/>
      <c r="E22" s="500"/>
      <c r="F22" s="500"/>
      <c r="G22" s="500"/>
      <c r="H22" s="501">
        <v>2026</v>
      </c>
      <c r="I22" s="502"/>
      <c r="J22" s="503"/>
      <c r="K22" s="504">
        <f>IF(ISNUMBER('Income Tax Proforma - Old Schem'!K22),'Income Tax Proforma - Old Schem'!K22,0)</f>
        <v>0</v>
      </c>
      <c r="L22" s="505"/>
      <c r="M22" s="505"/>
      <c r="N22" s="505"/>
      <c r="O22" s="505"/>
      <c r="P22" s="505"/>
      <c r="Q22" s="505"/>
      <c r="R22" s="504">
        <f>IF(ISNUMBER('Income Tax Proforma - Old Schem'!Q22),'Income Tax Proforma - Old Schem'!Q22,0)</f>
        <v>0</v>
      </c>
      <c r="S22" s="505"/>
      <c r="T22" s="505"/>
      <c r="U22" s="505"/>
      <c r="V22" s="505"/>
      <c r="W22" s="505"/>
      <c r="X22" s="506"/>
      <c r="Y22" s="504">
        <f>IF(ISNUMBER('Income Tax Proforma - Old Schem'!W22),'Income Tax Proforma - Old Schem'!W22,0)</f>
        <v>0</v>
      </c>
      <c r="Z22" s="505"/>
      <c r="AA22" s="505"/>
      <c r="AB22" s="505"/>
      <c r="AC22" s="505"/>
      <c r="AD22" s="505"/>
      <c r="AE22" s="505"/>
      <c r="AF22" s="507">
        <f t="shared" si="0"/>
        <v>0</v>
      </c>
      <c r="AG22" s="508"/>
      <c r="AH22" s="508"/>
      <c r="AI22" s="508"/>
      <c r="AJ22" s="508"/>
      <c r="AK22" s="508"/>
      <c r="AL22" s="509"/>
      <c r="BJ22" s="21"/>
      <c r="BR22" s="68"/>
      <c r="BS22" s="68"/>
      <c r="BT22" s="68"/>
    </row>
    <row r="23" spans="2:74" ht="16.5" customHeight="1" x14ac:dyDescent="0.3">
      <c r="B23" s="233" t="s">
        <v>25</v>
      </c>
      <c r="C23" s="500"/>
      <c r="D23" s="500"/>
      <c r="E23" s="500"/>
      <c r="F23" s="500"/>
      <c r="G23" s="500"/>
      <c r="H23" s="501">
        <v>2026</v>
      </c>
      <c r="I23" s="502"/>
      <c r="J23" s="503"/>
      <c r="K23" s="504">
        <f>IF(ISNUMBER('Income Tax Proforma - Old Schem'!K23),'Income Tax Proforma - Old Schem'!K23,0)</f>
        <v>0</v>
      </c>
      <c r="L23" s="505"/>
      <c r="M23" s="505"/>
      <c r="N23" s="505"/>
      <c r="O23" s="505"/>
      <c r="P23" s="505"/>
      <c r="Q23" s="505"/>
      <c r="R23" s="504">
        <f>IF(ISNUMBER('Income Tax Proforma - Old Schem'!Q23),'Income Tax Proforma - Old Schem'!Q23,0)</f>
        <v>0</v>
      </c>
      <c r="S23" s="505"/>
      <c r="T23" s="505"/>
      <c r="U23" s="505"/>
      <c r="V23" s="505"/>
      <c r="W23" s="505"/>
      <c r="X23" s="506"/>
      <c r="Y23" s="504">
        <f>IF(ISNUMBER('Income Tax Proforma - Old Schem'!W23),'Income Tax Proforma - Old Schem'!W23,0)</f>
        <v>0</v>
      </c>
      <c r="Z23" s="505"/>
      <c r="AA23" s="505"/>
      <c r="AB23" s="505"/>
      <c r="AC23" s="505"/>
      <c r="AD23" s="505"/>
      <c r="AE23" s="505"/>
      <c r="AF23" s="507">
        <f t="shared" si="0"/>
        <v>0</v>
      </c>
      <c r="AG23" s="508"/>
      <c r="AH23" s="508"/>
      <c r="AI23" s="508"/>
      <c r="AJ23" s="508"/>
      <c r="AK23" s="508"/>
      <c r="AL23" s="509"/>
      <c r="BJ23" s="21"/>
    </row>
    <row r="24" spans="2:74" ht="16.5" customHeight="1" x14ac:dyDescent="0.3">
      <c r="B24" s="301" t="s">
        <v>4</v>
      </c>
      <c r="C24" s="263"/>
      <c r="D24" s="263"/>
      <c r="E24" s="263"/>
      <c r="F24" s="263"/>
      <c r="G24" s="263"/>
      <c r="H24" s="263"/>
      <c r="I24" s="263"/>
      <c r="J24" s="278"/>
      <c r="K24" s="504">
        <f>SUM(K12:K23)</f>
        <v>0</v>
      </c>
      <c r="L24" s="505"/>
      <c r="M24" s="505"/>
      <c r="N24" s="505"/>
      <c r="O24" s="505"/>
      <c r="P24" s="505"/>
      <c r="Q24" s="505"/>
      <c r="R24" s="504">
        <f>SUM(R12:R23)</f>
        <v>0</v>
      </c>
      <c r="S24" s="505"/>
      <c r="T24" s="505"/>
      <c r="U24" s="505"/>
      <c r="V24" s="505"/>
      <c r="W24" s="505"/>
      <c r="X24" s="506"/>
      <c r="Y24" s="504">
        <f>SUM(Y12:Y23)</f>
        <v>0</v>
      </c>
      <c r="Z24" s="505"/>
      <c r="AA24" s="505"/>
      <c r="AB24" s="505"/>
      <c r="AC24" s="505"/>
      <c r="AD24" s="505"/>
      <c r="AE24" s="505"/>
      <c r="AF24" s="242">
        <f>SUM(AF12:AF23)</f>
        <v>0</v>
      </c>
      <c r="AG24" s="521"/>
      <c r="AH24" s="521"/>
      <c r="AI24" s="521"/>
      <c r="AJ24" s="521"/>
      <c r="AK24" s="521"/>
      <c r="AL24" s="522"/>
      <c r="BJ24" s="21"/>
      <c r="BQ24" s="83"/>
      <c r="BR24" s="83"/>
      <c r="BS24" s="83"/>
      <c r="BT24" s="83"/>
      <c r="BU24" s="83"/>
      <c r="BV24" s="83"/>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3"/>
      <c r="BR25" s="83"/>
      <c r="BS25" s="83"/>
      <c r="BT25" s="83"/>
      <c r="BU25" s="83"/>
      <c r="BV25" s="83"/>
    </row>
    <row r="26" spans="2:74" s="12" customFormat="1" ht="18" customHeight="1" x14ac:dyDescent="0.25">
      <c r="B26" s="77"/>
      <c r="C26" s="251" t="s">
        <v>130</v>
      </c>
      <c r="D26" s="252"/>
      <c r="E26" s="252"/>
      <c r="F26" s="252"/>
      <c r="G26" s="252"/>
      <c r="H26" s="252"/>
      <c r="I26" s="252"/>
      <c r="J26" s="252"/>
      <c r="K26" s="252"/>
      <c r="L26" s="252"/>
      <c r="M26" s="252"/>
      <c r="N26" s="252"/>
      <c r="O26" s="252"/>
      <c r="P26" s="252"/>
      <c r="Q26" s="252"/>
      <c r="R26" s="252"/>
      <c r="S26" s="252"/>
      <c r="T26" s="252"/>
      <c r="U26" s="76" t="s">
        <v>5</v>
      </c>
      <c r="V26" s="200">
        <f>IF(ISNUMBER('Income Tax Proforma - Old Schem'!V26),'Income Tax Proforma - Old Schem'!V26,0)</f>
        <v>0</v>
      </c>
      <c r="W26" s="262"/>
      <c r="X26" s="262"/>
      <c r="Y26" s="262"/>
      <c r="Z26" s="262"/>
      <c r="AA26" s="262"/>
      <c r="AB26" s="262"/>
      <c r="AC26" s="262"/>
      <c r="AD26" s="262"/>
      <c r="AE26" s="262"/>
      <c r="AF26" s="187"/>
      <c r="AG26" s="250"/>
      <c r="AH26" s="251" t="s">
        <v>19</v>
      </c>
      <c r="AI26" s="252"/>
      <c r="AJ26" s="252"/>
      <c r="AK26" s="252"/>
      <c r="AL26" s="252"/>
      <c r="AM26" s="252"/>
      <c r="AN26" s="252"/>
      <c r="AO26" s="252"/>
      <c r="AP26" s="252"/>
      <c r="AQ26" s="252"/>
      <c r="AR26" s="252"/>
      <c r="AS26" s="252"/>
      <c r="AT26" s="252"/>
      <c r="AU26" s="252"/>
      <c r="AV26" s="252"/>
      <c r="AW26" s="252"/>
      <c r="AX26" s="252"/>
      <c r="AY26" s="252"/>
      <c r="AZ26" s="76" t="s">
        <v>5</v>
      </c>
      <c r="BA26" s="200">
        <f>IF(ISNUMBER('Income Tax Proforma - Old Schem'!BA26),'Income Tax Proforma - Old Schem'!BA26,0)</f>
        <v>0</v>
      </c>
      <c r="BB26" s="262"/>
      <c r="BC26" s="262"/>
      <c r="BD26" s="262"/>
      <c r="BE26" s="262"/>
      <c r="BF26" s="262"/>
      <c r="BG26" s="262"/>
      <c r="BH26" s="262"/>
      <c r="BI26" s="262"/>
      <c r="BJ26" s="262"/>
      <c r="BQ26" s="83"/>
      <c r="BR26" s="83"/>
      <c r="BS26" s="83"/>
      <c r="BT26" s="83"/>
      <c r="BU26" s="83"/>
      <c r="BV26" s="83"/>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3"/>
      <c r="BR27" s="83"/>
      <c r="BS27" s="83"/>
      <c r="BT27" s="83"/>
      <c r="BU27" s="83"/>
      <c r="BV27" s="83"/>
    </row>
    <row r="28" spans="2:74" s="12" customFormat="1" ht="18" customHeight="1" x14ac:dyDescent="0.25">
      <c r="B28" s="77"/>
      <c r="C28" s="251" t="s">
        <v>129</v>
      </c>
      <c r="D28" s="252"/>
      <c r="E28" s="252"/>
      <c r="F28" s="252"/>
      <c r="G28" s="252"/>
      <c r="H28" s="252"/>
      <c r="I28" s="252"/>
      <c r="J28" s="252"/>
      <c r="K28" s="252"/>
      <c r="L28" s="252"/>
      <c r="M28" s="252"/>
      <c r="N28" s="252"/>
      <c r="O28" s="252"/>
      <c r="P28" s="252"/>
      <c r="Q28" s="252"/>
      <c r="R28" s="252"/>
      <c r="S28" s="252"/>
      <c r="T28" s="252"/>
      <c r="U28" s="76" t="s">
        <v>5</v>
      </c>
      <c r="V28" s="200">
        <f>IF(ISNUMBER('Income Tax Proforma - Old Schem'!V28),'Income Tax Proforma - Old Schem'!V28,0)</f>
        <v>0</v>
      </c>
      <c r="W28" s="262"/>
      <c r="X28" s="262"/>
      <c r="Y28" s="262"/>
      <c r="Z28" s="262"/>
      <c r="AA28" s="262"/>
      <c r="AB28" s="262"/>
      <c r="AC28" s="262"/>
      <c r="AD28" s="262"/>
      <c r="AE28" s="262"/>
      <c r="AF28" s="187"/>
      <c r="AG28" s="250"/>
      <c r="AH28" s="299" t="str">
        <f>IF('Basic Information'!AN10="NPS","Employer's Contribution to NPS u/s 17.(viii)","")</f>
        <v/>
      </c>
      <c r="AI28" s="300"/>
      <c r="AJ28" s="300"/>
      <c r="AK28" s="300"/>
      <c r="AL28" s="300"/>
      <c r="AM28" s="300"/>
      <c r="AN28" s="300"/>
      <c r="AO28" s="300"/>
      <c r="AP28" s="300"/>
      <c r="AQ28" s="300"/>
      <c r="AR28" s="300"/>
      <c r="AS28" s="300"/>
      <c r="AT28" s="300"/>
      <c r="AU28" s="300"/>
      <c r="AV28" s="300"/>
      <c r="AW28" s="300"/>
      <c r="AX28" s="300"/>
      <c r="AY28" s="300"/>
      <c r="AZ28" s="76" t="str">
        <f>IF('Basic Information'!AN10="NPS",":","")</f>
        <v/>
      </c>
      <c r="BA28" s="200" t="str">
        <f>IF(AND('Basic Information'!AN10="NPS",ISNUMBER('Income Tax Proforma - Old Schem'!BA28)),'Income Tax Proforma - Old Schem'!BA28,"")</f>
        <v/>
      </c>
      <c r="BB28" s="262"/>
      <c r="BC28" s="262"/>
      <c r="BD28" s="262"/>
      <c r="BE28" s="262"/>
      <c r="BF28" s="262"/>
      <c r="BG28" s="262"/>
      <c r="BH28" s="262"/>
      <c r="BI28" s="262"/>
      <c r="BJ28" s="262"/>
      <c r="BQ28" s="83"/>
      <c r="BR28" s="83"/>
      <c r="BS28" s="83"/>
      <c r="BT28" s="83"/>
      <c r="BU28" s="83"/>
      <c r="BV28" s="83"/>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3"/>
      <c r="BR29" s="83"/>
      <c r="BS29" s="83"/>
      <c r="BT29" s="83"/>
      <c r="BU29" s="83"/>
      <c r="BV29" s="83"/>
    </row>
    <row r="30" spans="2:74" s="12" customFormat="1" ht="18" customHeight="1" x14ac:dyDescent="0.25">
      <c r="B30" s="77"/>
      <c r="C30" s="251" t="s">
        <v>139</v>
      </c>
      <c r="D30" s="252"/>
      <c r="E30" s="252"/>
      <c r="F30" s="252"/>
      <c r="G30" s="252"/>
      <c r="H30" s="252"/>
      <c r="I30" s="252"/>
      <c r="J30" s="252"/>
      <c r="K30" s="252"/>
      <c r="L30" s="252"/>
      <c r="M30" s="252"/>
      <c r="N30" s="252"/>
      <c r="O30" s="252"/>
      <c r="P30" s="252"/>
      <c r="Q30" s="252"/>
      <c r="R30" s="252"/>
      <c r="S30" s="252"/>
      <c r="T30" s="252"/>
      <c r="U30" s="81" t="s">
        <v>5</v>
      </c>
      <c r="V30" s="200">
        <f>IF(ISNUMBER('Income Tax Proforma - Old Schem'!V30),'Income Tax Proforma - Old Schem'!V30,0)</f>
        <v>0</v>
      </c>
      <c r="W30" s="262"/>
      <c r="X30" s="262"/>
      <c r="Y30" s="262"/>
      <c r="Z30" s="262"/>
      <c r="AA30" s="262"/>
      <c r="AB30" s="262"/>
      <c r="AC30" s="262"/>
      <c r="AD30" s="262"/>
      <c r="AE30" s="262"/>
      <c r="AF30" s="29"/>
      <c r="AG30" s="87"/>
      <c r="AH30" s="245" t="str">
        <f>IF('Basic Information'!AN10="NPS","NPS Arrear - Employer's Contribution to NPS","")</f>
        <v/>
      </c>
      <c r="AI30" s="246"/>
      <c r="AJ30" s="246"/>
      <c r="AK30" s="246"/>
      <c r="AL30" s="246"/>
      <c r="AM30" s="246"/>
      <c r="AN30" s="246"/>
      <c r="AO30" s="246"/>
      <c r="AP30" s="246"/>
      <c r="AQ30" s="246"/>
      <c r="AR30" s="246"/>
      <c r="AS30" s="246"/>
      <c r="AT30" s="246"/>
      <c r="AU30" s="246"/>
      <c r="AV30" s="246"/>
      <c r="AW30" s="246"/>
      <c r="AX30" s="246"/>
      <c r="AY30" s="246"/>
      <c r="AZ30" s="76" t="str">
        <f>IF('Basic Information'!AN10="NPS",":","")</f>
        <v/>
      </c>
      <c r="BA30" s="200" t="str">
        <f>IF(AND('Basic Information'!AN10="NPS",ISNUMBER('Income Tax Proforma - Old Schem'!BA30)),'Income Tax Proforma - Old Schem'!BA30,"")</f>
        <v/>
      </c>
      <c r="BB30" s="262"/>
      <c r="BC30" s="262"/>
      <c r="BD30" s="262"/>
      <c r="BE30" s="262"/>
      <c r="BF30" s="262"/>
      <c r="BG30" s="262"/>
      <c r="BH30" s="262"/>
      <c r="BI30" s="262"/>
      <c r="BJ30" s="262"/>
      <c r="BQ30" s="83"/>
      <c r="BR30" s="83"/>
      <c r="BS30" s="83"/>
      <c r="BT30" s="83"/>
      <c r="BU30" s="83"/>
      <c r="BV30" s="83"/>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3"/>
      <c r="BR31" s="83"/>
      <c r="BS31" s="83"/>
      <c r="BT31" s="83"/>
      <c r="BU31" s="83"/>
      <c r="BV31" s="83"/>
    </row>
    <row r="32" spans="2:74" ht="18" x14ac:dyDescent="0.3">
      <c r="B32" s="135" t="s">
        <v>231</v>
      </c>
      <c r="C32" s="136"/>
      <c r="D32" s="136"/>
      <c r="E32" s="136"/>
      <c r="F32" s="136"/>
      <c r="G32" s="136"/>
      <c r="H32" s="136"/>
      <c r="I32" s="136"/>
      <c r="J32" s="136"/>
      <c r="K32" s="136"/>
      <c r="L32" s="136"/>
      <c r="M32" s="136"/>
      <c r="N32" s="136"/>
      <c r="O32" s="136"/>
      <c r="P32" s="136"/>
      <c r="Q32" s="136"/>
      <c r="R32" s="136"/>
      <c r="S32" s="136"/>
      <c r="T32" s="136"/>
      <c r="U32" s="137"/>
      <c r="V32" s="134"/>
      <c r="W32" s="134"/>
      <c r="X32" s="134"/>
      <c r="Y32" s="134"/>
      <c r="Z32" s="134"/>
      <c r="AA32" s="134"/>
      <c r="AB32" s="134"/>
      <c r="AC32" s="134"/>
      <c r="AD32" s="134"/>
      <c r="AE32" s="134"/>
      <c r="AF32" s="134"/>
      <c r="AG32" s="134"/>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3"/>
      <c r="BR32" s="83"/>
      <c r="BS32" s="83"/>
      <c r="BT32" s="83"/>
      <c r="BU32" s="83"/>
      <c r="BV32" s="83"/>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285" t="s">
        <v>83</v>
      </c>
      <c r="D34" s="287"/>
      <c r="E34" s="287"/>
      <c r="F34" s="287"/>
      <c r="G34" s="287"/>
      <c r="H34" s="287"/>
      <c r="I34" s="287"/>
      <c r="J34" s="287"/>
      <c r="K34" s="287"/>
      <c r="L34" s="523"/>
      <c r="M34" s="76" t="s">
        <v>5</v>
      </c>
      <c r="N34" s="193">
        <f>IF(ISNUMBER('Income Tax Proforma - Old Schem'!N34),'Income Tax Proforma - Old Schem'!N34,0)</f>
        <v>0</v>
      </c>
      <c r="O34" s="194"/>
      <c r="P34" s="194"/>
      <c r="Q34" s="194"/>
      <c r="R34" s="194"/>
      <c r="S34" s="194"/>
      <c r="T34" s="194"/>
      <c r="U34" s="195"/>
      <c r="V34" s="17"/>
      <c r="W34" s="214" t="s">
        <v>140</v>
      </c>
      <c r="X34" s="288"/>
      <c r="Y34" s="288"/>
      <c r="Z34" s="288"/>
      <c r="AA34" s="288"/>
      <c r="AB34" s="288"/>
      <c r="AC34" s="288"/>
      <c r="AD34" s="288"/>
      <c r="AE34" s="288"/>
      <c r="AF34" s="216"/>
      <c r="AG34" s="76" t="s">
        <v>5</v>
      </c>
      <c r="AH34" s="193">
        <f>IF(ISNUMBER('Income Tax Proforma - Old Schem'!AH34),'Income Tax Proforma - Old Schem'!AH34,0)</f>
        <v>0</v>
      </c>
      <c r="AI34" s="194"/>
      <c r="AJ34" s="194"/>
      <c r="AK34" s="194"/>
      <c r="AL34" s="194"/>
      <c r="AM34" s="194"/>
      <c r="AN34" s="194"/>
      <c r="AO34" s="195"/>
      <c r="AP34" s="18"/>
      <c r="AQ34" s="214" t="s">
        <v>141</v>
      </c>
      <c r="AR34" s="288"/>
      <c r="AS34" s="288"/>
      <c r="AT34" s="288"/>
      <c r="AU34" s="288"/>
      <c r="AV34" s="288"/>
      <c r="AW34" s="288"/>
      <c r="AX34" s="288"/>
      <c r="AY34" s="288"/>
      <c r="AZ34" s="288"/>
      <c r="BA34" s="296"/>
      <c r="BB34" s="76" t="s">
        <v>5</v>
      </c>
      <c r="BC34" s="193">
        <f>IF(ISNUMBER('Income Tax Proforma - Old Schem'!BC34),'Income Tax Proforma - Old Schem'!BC34,0)</f>
        <v>0</v>
      </c>
      <c r="BD34" s="194"/>
      <c r="BE34" s="194"/>
      <c r="BF34" s="194"/>
      <c r="BG34" s="194"/>
      <c r="BH34" s="194"/>
      <c r="BI34" s="194"/>
      <c r="BJ34" s="195"/>
      <c r="BQ34" s="83"/>
      <c r="BR34" s="84"/>
      <c r="BS34" s="84"/>
      <c r="BT34" s="84"/>
      <c r="BU34" s="84"/>
      <c r="BV34" s="84"/>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2"/>
      <c r="BR35" s="82"/>
      <c r="BS35" s="82"/>
      <c r="BT35" s="82"/>
      <c r="BU35" s="82"/>
      <c r="BV35" s="82"/>
    </row>
    <row r="36" spans="2:74" s="12" customFormat="1" ht="19.95" customHeight="1" x14ac:dyDescent="0.25">
      <c r="B36" s="192" t="s">
        <v>233</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4"/>
      <c r="AU36" s="76" t="s">
        <v>5</v>
      </c>
      <c r="AV36" s="193">
        <f>IF('Basic Information'!AN10="NPS",SUM(AF24,V26,BA26,V28,BA28,V30,BA30,N34,AH34,BC34),SUM(AF24,V26,BA26,V28,V30,N34,AH34,BC34))</f>
        <v>0</v>
      </c>
      <c r="AW36" s="194"/>
      <c r="AX36" s="194"/>
      <c r="AY36" s="194"/>
      <c r="AZ36" s="194"/>
      <c r="BA36" s="194"/>
      <c r="BB36" s="194"/>
      <c r="BC36" s="194"/>
      <c r="BD36" s="194"/>
      <c r="BE36" s="194"/>
      <c r="BF36" s="194"/>
      <c r="BG36" s="194"/>
      <c r="BH36" s="194"/>
      <c r="BI36" s="194"/>
      <c r="BJ36" s="195"/>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2"/>
      <c r="BR37" s="82"/>
      <c r="BS37" s="82"/>
      <c r="BT37" s="82"/>
      <c r="BU37" s="82"/>
      <c r="BV37" s="82"/>
    </row>
    <row r="38" spans="2:74" s="12" customFormat="1" ht="18" customHeight="1" x14ac:dyDescent="0.25">
      <c r="B38" s="192" t="s">
        <v>164</v>
      </c>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9"/>
      <c r="AV38" s="19"/>
      <c r="AW38" s="19"/>
      <c r="AX38" s="19"/>
      <c r="AY38" s="19"/>
      <c r="AZ38" s="19"/>
      <c r="BA38" s="19"/>
      <c r="BB38" s="19"/>
      <c r="BC38" s="19"/>
      <c r="BD38" s="19"/>
      <c r="BE38" s="19"/>
      <c r="BF38" s="19"/>
      <c r="BG38" s="19"/>
      <c r="BH38" s="19"/>
      <c r="BI38" s="19"/>
      <c r="BJ38" s="43"/>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2"/>
      <c r="BR39" s="82"/>
      <c r="BS39" s="82"/>
      <c r="BT39" s="82"/>
      <c r="BU39" s="82"/>
      <c r="BV39" s="82"/>
    </row>
    <row r="40" spans="2:74" s="12" customFormat="1" ht="18" customHeight="1" x14ac:dyDescent="0.25">
      <c r="B40" s="54"/>
      <c r="C40" s="201" t="s">
        <v>214</v>
      </c>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76" t="s">
        <v>5</v>
      </c>
      <c r="AV40" s="200">
        <f>IF(AV36&lt;75000,AV36,75000)</f>
        <v>0</v>
      </c>
      <c r="AW40" s="200"/>
      <c r="AX40" s="200"/>
      <c r="AY40" s="200"/>
      <c r="AZ40" s="200"/>
      <c r="BA40" s="200"/>
      <c r="BB40" s="200"/>
      <c r="BC40" s="200"/>
      <c r="BD40" s="200"/>
      <c r="BE40" s="200"/>
      <c r="BF40" s="200"/>
      <c r="BG40" s="200"/>
      <c r="BH40" s="200"/>
      <c r="BI40" s="200"/>
      <c r="BJ40" s="200"/>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2"/>
      <c r="BR41" s="82"/>
      <c r="BS41" s="82"/>
      <c r="BT41" s="82"/>
      <c r="BU41" s="82"/>
      <c r="BV41" s="82"/>
    </row>
    <row r="42" spans="2:74" ht="18" customHeight="1" x14ac:dyDescent="0.3">
      <c r="B42" s="192" t="s">
        <v>168</v>
      </c>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6"/>
      <c r="AU42" s="76" t="s">
        <v>5</v>
      </c>
      <c r="AV42" s="193">
        <f>AV36-AV40</f>
        <v>0</v>
      </c>
      <c r="AW42" s="524"/>
      <c r="AX42" s="524"/>
      <c r="AY42" s="524"/>
      <c r="AZ42" s="524"/>
      <c r="BA42" s="524"/>
      <c r="BB42" s="524"/>
      <c r="BC42" s="524"/>
      <c r="BD42" s="524"/>
      <c r="BE42" s="524"/>
      <c r="BF42" s="524"/>
      <c r="BG42" s="524"/>
      <c r="BH42" s="524"/>
      <c r="BI42" s="524"/>
      <c r="BJ42" s="525"/>
      <c r="BQ42" s="82"/>
      <c r="BR42" s="82"/>
      <c r="BS42" s="82"/>
      <c r="BT42" s="82"/>
      <c r="BU42" s="82"/>
      <c r="BV42" s="82"/>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133" t="s">
        <v>218</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201" t="s">
        <v>116</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76" t="s">
        <v>5</v>
      </c>
      <c r="AV46" s="200">
        <f>IF(ISNUMBER('Income Tax Proforma - Old Schem'!AV64),'Income Tax Proforma - Old Schem'!AV64,0)</f>
        <v>0</v>
      </c>
      <c r="AW46" s="262"/>
      <c r="AX46" s="262"/>
      <c r="AY46" s="262"/>
      <c r="AZ46" s="262"/>
      <c r="BA46" s="262"/>
      <c r="BB46" s="262"/>
      <c r="BC46" s="262"/>
      <c r="BD46" s="262"/>
      <c r="BE46" s="262"/>
      <c r="BF46" s="262"/>
      <c r="BG46" s="262"/>
      <c r="BH46" s="262"/>
      <c r="BI46" s="262"/>
      <c r="BJ46" s="262"/>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201" t="s">
        <v>171</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76" t="s">
        <v>5</v>
      </c>
      <c r="AV48" s="200">
        <f>IF(ISNUMBER('Income Tax Proforma - Old Schem'!AV66),'Income Tax Proforma - Old Schem'!AV66,0)</f>
        <v>0</v>
      </c>
      <c r="AW48" s="262"/>
      <c r="AX48" s="262"/>
      <c r="AY48" s="262"/>
      <c r="AZ48" s="262"/>
      <c r="BA48" s="262"/>
      <c r="BB48" s="262"/>
      <c r="BC48" s="262"/>
      <c r="BD48" s="262"/>
      <c r="BE48" s="262"/>
      <c r="BF48" s="262"/>
      <c r="BG48" s="262"/>
      <c r="BH48" s="262"/>
      <c r="BI48" s="262"/>
      <c r="BJ48" s="262"/>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201" t="s">
        <v>85</v>
      </c>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76" t="s">
        <v>5</v>
      </c>
      <c r="AV50" s="200">
        <f>IF(ISNUMBER('Income Tax Proforma - Old Schem'!AV68),'Income Tax Proforma - Old Schem'!AV68,0)</f>
        <v>0</v>
      </c>
      <c r="AW50" s="262"/>
      <c r="AX50" s="262"/>
      <c r="AY50" s="262"/>
      <c r="AZ50" s="262"/>
      <c r="BA50" s="262"/>
      <c r="BB50" s="262"/>
      <c r="BC50" s="262"/>
      <c r="BD50" s="262"/>
      <c r="BE50" s="262"/>
      <c r="BF50" s="262"/>
      <c r="BG50" s="262"/>
      <c r="BH50" s="262"/>
      <c r="BI50" s="262"/>
      <c r="BJ50" s="262"/>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201" t="s">
        <v>86</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76" t="s">
        <v>5</v>
      </c>
      <c r="AV52" s="200">
        <f>IF(ISNUMBER('Income Tax Proforma - Old Schem'!AV70),'Income Tax Proforma - Old Schem'!AV70,0)</f>
        <v>0</v>
      </c>
      <c r="AW52" s="262"/>
      <c r="AX52" s="262"/>
      <c r="AY52" s="262"/>
      <c r="AZ52" s="262"/>
      <c r="BA52" s="262"/>
      <c r="BB52" s="262"/>
      <c r="BC52" s="262"/>
      <c r="BD52" s="262"/>
      <c r="BE52" s="262"/>
      <c r="BF52" s="262"/>
      <c r="BG52" s="262"/>
      <c r="BH52" s="262"/>
      <c r="BI52" s="262"/>
      <c r="BJ52" s="262"/>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254" t="s">
        <v>219</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76" t="s">
        <v>5</v>
      </c>
      <c r="AV54" s="200">
        <f>SUM(AV42,AV46,AV48,AV50,AV52)</f>
        <v>0</v>
      </c>
      <c r="AW54" s="262"/>
      <c r="AX54" s="262"/>
      <c r="AY54" s="262"/>
      <c r="AZ54" s="262"/>
      <c r="BA54" s="262"/>
      <c r="BB54" s="262"/>
      <c r="BC54" s="262"/>
      <c r="BD54" s="262"/>
      <c r="BE54" s="262"/>
      <c r="BF54" s="262"/>
      <c r="BG54" s="262"/>
      <c r="BH54" s="262"/>
      <c r="BI54" s="262"/>
      <c r="BJ54" s="262"/>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26" t="s">
        <v>220</v>
      </c>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198" t="s">
        <v>87</v>
      </c>
      <c r="AK56" s="349"/>
      <c r="AL56" s="349"/>
      <c r="AM56" s="349"/>
      <c r="AN56" s="349"/>
      <c r="AO56" s="349"/>
      <c r="AP56" s="349"/>
      <c r="AQ56" s="349"/>
      <c r="AR56" s="349"/>
      <c r="AS56" s="349"/>
      <c r="AT56" s="349"/>
      <c r="AU56" s="349"/>
      <c r="AV56" s="198" t="s">
        <v>88</v>
      </c>
      <c r="AW56" s="349"/>
      <c r="AX56" s="349"/>
      <c r="AY56" s="349"/>
      <c r="AZ56" s="349"/>
      <c r="BA56" s="349"/>
      <c r="BB56" s="349"/>
      <c r="BC56" s="349"/>
      <c r="BD56" s="349"/>
      <c r="BE56" s="349"/>
      <c r="BF56" s="349"/>
      <c r="BG56" s="349"/>
      <c r="BH56" s="349"/>
      <c r="BI56" s="349"/>
      <c r="BJ56" s="349"/>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32" t="str">
        <f>IF(AND(AV58&lt;&gt;0,AJ58&gt;AV58),"The maximum allowed limit for deduction u/s 124(1) is ten per cent of the salary (Basic Pay+DA) received in the previous year. ","")</f>
        <v/>
      </c>
      <c r="BM57" s="132"/>
      <c r="BN57" s="132"/>
      <c r="BO57" s="132"/>
      <c r="BP57" s="132"/>
      <c r="BQ57" s="132"/>
      <c r="BR57" s="132"/>
      <c r="BS57" s="132"/>
      <c r="BT57" s="132"/>
      <c r="BU57" s="132"/>
      <c r="BV57" s="132"/>
    </row>
    <row r="58" spans="2:75" ht="27.6" customHeight="1" x14ac:dyDescent="0.3">
      <c r="B58" s="20"/>
      <c r="C58" s="305" t="s">
        <v>221</v>
      </c>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9"/>
      <c r="AI58" s="76" t="s">
        <v>5</v>
      </c>
      <c r="AJ58" s="322">
        <f>IF('Basic Information'!AN10="NPS",IF(ISNUMBER(BA30),SUM(BA28,BA30),BA28),0)</f>
        <v>0</v>
      </c>
      <c r="AK58" s="530"/>
      <c r="AL58" s="530"/>
      <c r="AM58" s="530"/>
      <c r="AN58" s="530"/>
      <c r="AO58" s="530"/>
      <c r="AP58" s="530"/>
      <c r="AQ58" s="530"/>
      <c r="AR58" s="530"/>
      <c r="AS58" s="530"/>
      <c r="AT58" s="349"/>
      <c r="AU58" s="349"/>
      <c r="AV58" s="200">
        <f>IF(AND(SUM(K24,R24)&lt;&gt;0,AJ58&lt;&gt;0),BA28,0)</f>
        <v>0</v>
      </c>
      <c r="AW58" s="262"/>
      <c r="AX58" s="262"/>
      <c r="AY58" s="262"/>
      <c r="AZ58" s="262"/>
      <c r="BA58" s="262"/>
      <c r="BB58" s="262"/>
      <c r="BC58" s="262"/>
      <c r="BD58" s="262"/>
      <c r="BE58" s="262"/>
      <c r="BF58" s="262"/>
      <c r="BG58" s="262"/>
      <c r="BH58" s="262"/>
      <c r="BI58" s="262"/>
      <c r="BJ58" s="262"/>
      <c r="BL58" s="132"/>
      <c r="BM58" s="132"/>
      <c r="BN58" s="132"/>
      <c r="BO58" s="132"/>
      <c r="BP58" s="132"/>
      <c r="BQ58" s="132"/>
      <c r="BR58" s="132"/>
      <c r="BS58" s="132"/>
      <c r="BT58" s="132"/>
      <c r="BU58" s="132"/>
      <c r="BV58" s="132"/>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32"/>
      <c r="BM59" s="132"/>
      <c r="BN59" s="132"/>
      <c r="BO59" s="132"/>
      <c r="BP59" s="132"/>
      <c r="BQ59" s="132"/>
      <c r="BR59" s="132"/>
      <c r="BS59" s="132"/>
      <c r="BT59" s="132"/>
      <c r="BU59" s="132"/>
      <c r="BV59" s="132"/>
    </row>
    <row r="60" spans="2:75" ht="18" customHeight="1" x14ac:dyDescent="0.3">
      <c r="B60" s="22"/>
      <c r="C60" s="202" t="s">
        <v>92</v>
      </c>
      <c r="D60" s="531"/>
      <c r="E60" s="531"/>
      <c r="F60" s="531"/>
      <c r="G60" s="531"/>
      <c r="H60" s="531"/>
      <c r="I60" s="531"/>
      <c r="J60" s="531"/>
      <c r="K60" s="531"/>
      <c r="L60" s="531"/>
      <c r="M60" s="531"/>
      <c r="N60" s="531"/>
      <c r="O60" s="531"/>
      <c r="P60" s="531"/>
      <c r="Q60" s="531"/>
      <c r="R60" s="531"/>
      <c r="S60" s="531"/>
      <c r="T60" s="531"/>
      <c r="U60" s="531"/>
      <c r="V60" s="531"/>
      <c r="W60" s="531"/>
      <c r="X60" s="531"/>
      <c r="Y60" s="531"/>
      <c r="Z60" s="531"/>
      <c r="AA60" s="531"/>
      <c r="AB60" s="531"/>
      <c r="AC60" s="531"/>
      <c r="AD60" s="531"/>
      <c r="AE60" s="531"/>
      <c r="AF60" s="531"/>
      <c r="AG60" s="531"/>
      <c r="AH60" s="532"/>
      <c r="AI60" s="76" t="s">
        <v>5</v>
      </c>
      <c r="AJ60" s="205">
        <f>SUM(AJ58)</f>
        <v>0</v>
      </c>
      <c r="AK60" s="533"/>
      <c r="AL60" s="533"/>
      <c r="AM60" s="533"/>
      <c r="AN60" s="533"/>
      <c r="AO60" s="533"/>
      <c r="AP60" s="533"/>
      <c r="AQ60" s="533"/>
      <c r="AR60" s="533"/>
      <c r="AS60" s="534"/>
      <c r="AT60" s="349"/>
      <c r="AU60" s="349"/>
      <c r="AV60" s="193">
        <f>SUM(AV58)</f>
        <v>0</v>
      </c>
      <c r="AW60" s="524"/>
      <c r="AX60" s="524"/>
      <c r="AY60" s="524"/>
      <c r="AZ60" s="524"/>
      <c r="BA60" s="524"/>
      <c r="BB60" s="524"/>
      <c r="BC60" s="524"/>
      <c r="BD60" s="524"/>
      <c r="BE60" s="524"/>
      <c r="BF60" s="524"/>
      <c r="BG60" s="524"/>
      <c r="BH60" s="524"/>
      <c r="BI60" s="524"/>
      <c r="BJ60" s="525"/>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192" t="s">
        <v>156</v>
      </c>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6"/>
      <c r="AU62" s="76" t="s">
        <v>5</v>
      </c>
      <c r="AV62" s="193">
        <f>IF(AV54&gt;AV60,MROUND(ABS(AV54-AV60), 10),0)</f>
        <v>0</v>
      </c>
      <c r="AW62" s="524"/>
      <c r="AX62" s="524"/>
      <c r="AY62" s="524"/>
      <c r="AZ62" s="524"/>
      <c r="BA62" s="524"/>
      <c r="BB62" s="524"/>
      <c r="BC62" s="524"/>
      <c r="BD62" s="524"/>
      <c r="BE62" s="524"/>
      <c r="BF62" s="524"/>
      <c r="BG62" s="524"/>
      <c r="BH62" s="524"/>
      <c r="BI62" s="524"/>
      <c r="BJ62" s="525"/>
      <c r="BP62" s="174"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74"/>
      <c r="BR62" s="174"/>
      <c r="BS62" s="174"/>
      <c r="BT62" s="174"/>
      <c r="BU62" s="174"/>
      <c r="BV62" s="174"/>
      <c r="BW62" s="174"/>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74"/>
      <c r="BQ63" s="174"/>
      <c r="BR63" s="174"/>
      <c r="BS63" s="174"/>
      <c r="BT63" s="174"/>
      <c r="BU63" s="174"/>
      <c r="BV63" s="174"/>
      <c r="BW63" s="174"/>
    </row>
    <row r="64" spans="2:75" x14ac:dyDescent="0.3">
      <c r="B64" s="192" t="s">
        <v>155</v>
      </c>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6"/>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201" t="s">
        <v>222</v>
      </c>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76" t="s">
        <v>5</v>
      </c>
      <c r="AV66" s="200">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262"/>
      <c r="AX66" s="262"/>
      <c r="AY66" s="262"/>
      <c r="AZ66" s="262"/>
      <c r="BA66" s="262"/>
      <c r="BB66" s="262"/>
      <c r="BC66" s="262"/>
      <c r="BD66" s="262"/>
      <c r="BE66" s="262"/>
      <c r="BF66" s="262"/>
      <c r="BG66" s="262"/>
      <c r="BH66" s="262"/>
      <c r="BI66" s="262"/>
      <c r="BJ66" s="262"/>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74" t="str">
        <f>IF(AND(AV62&gt;1200000,(AV62-1200000)&lt;=AV66),"You are availing of the benefit of marginal relief u/s 156(2) for the new tax regime u/s 202 (1).","")</f>
        <v/>
      </c>
      <c r="BQ67" s="174"/>
      <c r="BR67" s="174"/>
      <c r="BS67" s="174"/>
      <c r="BT67" s="174"/>
      <c r="BU67" s="174"/>
      <c r="BV67" s="174"/>
    </row>
    <row r="68" spans="2:74" ht="18" customHeight="1" x14ac:dyDescent="0.3">
      <c r="B68" s="20"/>
      <c r="C68" s="201" t="s">
        <v>223</v>
      </c>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2"/>
      <c r="AL68" s="252"/>
      <c r="AM68" s="252"/>
      <c r="AN68" s="252"/>
      <c r="AO68" s="252"/>
      <c r="AP68" s="252"/>
      <c r="AQ68" s="252"/>
      <c r="AR68" s="252"/>
      <c r="AS68" s="252"/>
      <c r="AT68" s="252"/>
      <c r="AU68" s="76" t="s">
        <v>5</v>
      </c>
      <c r="AV68" s="200">
        <f>IF(AND(AV62&lt;=1200000, AV62&lt;&gt;0),IF(AV66&lt;=60000,AV66,60000),IF(AND(AV62&lt;&gt;0,(AV62-1200000)&lt;=AV66),AV66-(AV62-1200000),0))</f>
        <v>0</v>
      </c>
      <c r="AW68" s="262"/>
      <c r="AX68" s="262"/>
      <c r="AY68" s="262"/>
      <c r="AZ68" s="262"/>
      <c r="BA68" s="262"/>
      <c r="BB68" s="262"/>
      <c r="BC68" s="262"/>
      <c r="BD68" s="262"/>
      <c r="BE68" s="262"/>
      <c r="BF68" s="262"/>
      <c r="BG68" s="262"/>
      <c r="BH68" s="262"/>
      <c r="BI68" s="262"/>
      <c r="BJ68" s="262"/>
      <c r="BP68" s="174"/>
      <c r="BQ68" s="174"/>
      <c r="BR68" s="174"/>
      <c r="BS68" s="174"/>
      <c r="BT68" s="174"/>
      <c r="BU68" s="174"/>
      <c r="BV68" s="174"/>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74"/>
      <c r="BQ69" s="174"/>
      <c r="BR69" s="174"/>
      <c r="BS69" s="174"/>
      <c r="BT69" s="174"/>
      <c r="BU69" s="174"/>
      <c r="BV69" s="174"/>
    </row>
    <row r="70" spans="2:74" ht="18" customHeight="1" x14ac:dyDescent="0.3">
      <c r="B70" s="20"/>
      <c r="C70" s="201" t="s">
        <v>132</v>
      </c>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76" t="s">
        <v>5</v>
      </c>
      <c r="AV70" s="200">
        <f>IF((AV66&lt;AV68),0,ROUND(ABS(AV66-AV68),0))</f>
        <v>0</v>
      </c>
      <c r="AW70" s="262"/>
      <c r="AX70" s="262"/>
      <c r="AY70" s="262"/>
      <c r="AZ70" s="262"/>
      <c r="BA70" s="262"/>
      <c r="BB70" s="262"/>
      <c r="BC70" s="262"/>
      <c r="BD70" s="262"/>
      <c r="BE70" s="262"/>
      <c r="BF70" s="262"/>
      <c r="BG70" s="262"/>
      <c r="BH70" s="262"/>
      <c r="BI70" s="262"/>
      <c r="BJ70" s="262"/>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201" t="s">
        <v>111</v>
      </c>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76" t="s">
        <v>5</v>
      </c>
      <c r="AV72" s="200">
        <f>IF(AV70&lt;&gt;0,ROUND(AV70*0.04,0),0)</f>
        <v>0</v>
      </c>
      <c r="AW72" s="262"/>
      <c r="AX72" s="262"/>
      <c r="AY72" s="262"/>
      <c r="AZ72" s="262"/>
      <c r="BA72" s="262"/>
      <c r="BB72" s="262"/>
      <c r="BC72" s="262"/>
      <c r="BD72" s="262"/>
      <c r="BE72" s="262"/>
      <c r="BF72" s="262"/>
      <c r="BG72" s="262"/>
      <c r="BH72" s="262"/>
      <c r="BI72" s="262"/>
      <c r="BJ72" s="262"/>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201" t="s">
        <v>207</v>
      </c>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76" t="s">
        <v>5</v>
      </c>
      <c r="AV74" s="200">
        <f>AV70+AV72</f>
        <v>0</v>
      </c>
      <c r="AW74" s="262"/>
      <c r="AX74" s="262"/>
      <c r="AY74" s="262"/>
      <c r="AZ74" s="262"/>
      <c r="BA74" s="262"/>
      <c r="BB74" s="262"/>
      <c r="BC74" s="262"/>
      <c r="BD74" s="262"/>
      <c r="BE74" s="262"/>
      <c r="BF74" s="262"/>
      <c r="BG74" s="262"/>
      <c r="BH74" s="262"/>
      <c r="BI74" s="262"/>
      <c r="BJ74" s="262"/>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201" t="s">
        <v>203</v>
      </c>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76" t="s">
        <v>5</v>
      </c>
      <c r="AV76" s="200">
        <f>IF(ISNUMBER('Form 10E - New Scheme'!AF79),'Form 10E - New Scheme'!AF79,0)</f>
        <v>0</v>
      </c>
      <c r="AW76" s="262"/>
      <c r="AX76" s="262"/>
      <c r="AY76" s="262"/>
      <c r="AZ76" s="262"/>
      <c r="BA76" s="262"/>
      <c r="BB76" s="262"/>
      <c r="BC76" s="262"/>
      <c r="BD76" s="262"/>
      <c r="BE76" s="262"/>
      <c r="BF76" s="262"/>
      <c r="BG76" s="262"/>
      <c r="BH76" s="262"/>
      <c r="BI76" s="262"/>
      <c r="BJ76" s="262"/>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4" t="s">
        <v>124</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207" t="str">
        <f>IF(AV76&gt;AV74, "9. Refund (f - e) u/s 431 ",   "9. Balance Tax After Relief / Amount payable  (e - f)  ")</f>
        <v xml:space="preserve">9. Balance Tax After Relief / Amount payable  (e - f)  </v>
      </c>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76" t="s">
        <v>5</v>
      </c>
      <c r="AV78" s="200" t="str">
        <f>IF(AV74&lt;&gt;AV76,MROUND(ABS(AV74-AV76),10),"NIL")</f>
        <v>NIL</v>
      </c>
      <c r="AW78" s="262"/>
      <c r="AX78" s="262"/>
      <c r="AY78" s="262"/>
      <c r="AZ78" s="262"/>
      <c r="BA78" s="262"/>
      <c r="BB78" s="262"/>
      <c r="BC78" s="262"/>
      <c r="BD78" s="262"/>
      <c r="BE78" s="262"/>
      <c r="BF78" s="262"/>
      <c r="BG78" s="262"/>
      <c r="BH78" s="262"/>
      <c r="BI78" s="262"/>
      <c r="BJ78" s="262"/>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133" t="s">
        <v>224</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256"/>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198" t="s">
        <v>0</v>
      </c>
      <c r="D82" s="535"/>
      <c r="E82" s="535"/>
      <c r="F82" s="535"/>
      <c r="G82" s="535"/>
      <c r="H82" s="535"/>
      <c r="I82" s="535"/>
      <c r="J82" s="535"/>
      <c r="K82" s="535"/>
      <c r="L82" s="535"/>
      <c r="M82" s="535"/>
      <c r="N82" s="535"/>
      <c r="O82" s="198" t="s">
        <v>98</v>
      </c>
      <c r="P82" s="535"/>
      <c r="Q82" s="535"/>
      <c r="R82" s="535"/>
      <c r="S82" s="535"/>
      <c r="T82" s="535"/>
      <c r="U82" s="535"/>
      <c r="V82" s="535"/>
      <c r="W82" s="198" t="s">
        <v>0</v>
      </c>
      <c r="X82" s="535"/>
      <c r="Y82" s="535"/>
      <c r="Z82" s="535"/>
      <c r="AA82" s="535"/>
      <c r="AB82" s="535"/>
      <c r="AC82" s="535"/>
      <c r="AD82" s="535"/>
      <c r="AE82" s="535"/>
      <c r="AF82" s="535"/>
      <c r="AG82" s="535"/>
      <c r="AH82" s="535"/>
      <c r="AI82" s="198" t="s">
        <v>98</v>
      </c>
      <c r="AJ82" s="535"/>
      <c r="AK82" s="535"/>
      <c r="AL82" s="535"/>
      <c r="AM82" s="535"/>
      <c r="AN82" s="535"/>
      <c r="AO82" s="535"/>
      <c r="AP82" s="535"/>
      <c r="AQ82" s="198" t="s">
        <v>0</v>
      </c>
      <c r="AR82" s="535"/>
      <c r="AS82" s="535"/>
      <c r="AT82" s="535"/>
      <c r="AU82" s="535"/>
      <c r="AV82" s="535"/>
      <c r="AW82" s="535"/>
      <c r="AX82" s="535"/>
      <c r="AY82" s="535"/>
      <c r="AZ82" s="535"/>
      <c r="BA82" s="535"/>
      <c r="BB82" s="535"/>
      <c r="BC82" s="198" t="s">
        <v>98</v>
      </c>
      <c r="BD82" s="535"/>
      <c r="BE82" s="535"/>
      <c r="BF82" s="535"/>
      <c r="BG82" s="535"/>
      <c r="BH82" s="535"/>
      <c r="BI82" s="535"/>
      <c r="BJ82" s="535"/>
      <c r="BP82" s="6">
        <f>SUM(O83,O84,O85,O86,O87,AI83,AI84,AI85,AI86,BC85,BC86)</f>
        <v>0</v>
      </c>
      <c r="BQ82" s="6">
        <f>IF(AND(SIGN(AV76-AV74)&lt;&gt;1,ISNUMBER(AV78)),IF(SIGN(BP82-AV78)&lt;&gt;1,ABS(BP82-AV78),0),0)</f>
        <v>0</v>
      </c>
      <c r="BR82" s="6">
        <f>IF(ISNUMBER(BQ82),MROUND(BQ82/3,100),0)</f>
        <v>0</v>
      </c>
    </row>
    <row r="83" spans="2:70" ht="16.5" customHeight="1" x14ac:dyDescent="0.3">
      <c r="B83" s="20"/>
      <c r="C83" s="222" t="s">
        <v>28</v>
      </c>
      <c r="D83" s="295"/>
      <c r="E83" s="295"/>
      <c r="F83" s="295"/>
      <c r="G83" s="295"/>
      <c r="H83" s="295"/>
      <c r="I83" s="295"/>
      <c r="J83" s="295"/>
      <c r="K83" s="154">
        <v>2025</v>
      </c>
      <c r="L83" s="295"/>
      <c r="M83" s="295"/>
      <c r="N83" s="296"/>
      <c r="O83" s="205">
        <f>IF(ISNUMBER('Income Tax Proforma - Old Schem'!O182),'Income Tax Proforma - Old Schem'!O182,0)</f>
        <v>0</v>
      </c>
      <c r="P83" s="156"/>
      <c r="Q83" s="156"/>
      <c r="R83" s="156"/>
      <c r="S83" s="156"/>
      <c r="T83" s="156"/>
      <c r="U83" s="156"/>
      <c r="V83" s="157"/>
      <c r="W83" s="222" t="s">
        <v>33</v>
      </c>
      <c r="X83" s="295"/>
      <c r="Y83" s="295"/>
      <c r="Z83" s="295"/>
      <c r="AA83" s="295"/>
      <c r="AB83" s="295"/>
      <c r="AC83" s="295"/>
      <c r="AD83" s="295"/>
      <c r="AE83" s="154">
        <v>2025</v>
      </c>
      <c r="AF83" s="295"/>
      <c r="AG83" s="295"/>
      <c r="AH83" s="296"/>
      <c r="AI83" s="205">
        <f>IF(ISNUMBER('Income Tax Proforma - Old Schem'!AI182),'Income Tax Proforma - Old Schem'!AI182,0)</f>
        <v>0</v>
      </c>
      <c r="AJ83" s="156"/>
      <c r="AK83" s="156"/>
      <c r="AL83" s="156"/>
      <c r="AM83" s="156"/>
      <c r="AN83" s="156"/>
      <c r="AO83" s="156"/>
      <c r="AP83" s="157"/>
      <c r="AQ83" s="201" t="s">
        <v>26</v>
      </c>
      <c r="AR83" s="252"/>
      <c r="AS83" s="252"/>
      <c r="AT83" s="252"/>
      <c r="AU83" s="252"/>
      <c r="AV83" s="252"/>
      <c r="AW83" s="252"/>
      <c r="AX83" s="352"/>
      <c r="AY83" s="154">
        <v>2026</v>
      </c>
      <c r="AZ83" s="295"/>
      <c r="BA83" s="295"/>
      <c r="BB83" s="296"/>
      <c r="BC83" s="205">
        <f>BR82</f>
        <v>0</v>
      </c>
      <c r="BD83" s="156"/>
      <c r="BE83" s="156"/>
      <c r="BF83" s="156"/>
      <c r="BG83" s="156"/>
      <c r="BH83" s="156"/>
      <c r="BI83" s="156"/>
      <c r="BJ83" s="157"/>
    </row>
    <row r="84" spans="2:70" ht="16.5" customHeight="1" x14ac:dyDescent="0.3">
      <c r="B84" s="20"/>
      <c r="C84" s="222" t="s">
        <v>29</v>
      </c>
      <c r="D84" s="295"/>
      <c r="E84" s="295"/>
      <c r="F84" s="295"/>
      <c r="G84" s="295"/>
      <c r="H84" s="295"/>
      <c r="I84" s="295"/>
      <c r="J84" s="295"/>
      <c r="K84" s="154">
        <v>2025</v>
      </c>
      <c r="L84" s="295"/>
      <c r="M84" s="295"/>
      <c r="N84" s="296"/>
      <c r="O84" s="205">
        <f>IF(ISNUMBER('Income Tax Proforma - Old Schem'!O183),'Income Tax Proforma - Old Schem'!O183,0)</f>
        <v>0</v>
      </c>
      <c r="P84" s="156"/>
      <c r="Q84" s="156"/>
      <c r="R84" s="156"/>
      <c r="S84" s="156"/>
      <c r="T84" s="156"/>
      <c r="U84" s="156"/>
      <c r="V84" s="157"/>
      <c r="W84" s="222" t="s">
        <v>24</v>
      </c>
      <c r="X84" s="295"/>
      <c r="Y84" s="295"/>
      <c r="Z84" s="295"/>
      <c r="AA84" s="295"/>
      <c r="AB84" s="295"/>
      <c r="AC84" s="295"/>
      <c r="AD84" s="295"/>
      <c r="AE84" s="154">
        <v>2025</v>
      </c>
      <c r="AF84" s="295"/>
      <c r="AG84" s="295"/>
      <c r="AH84" s="296"/>
      <c r="AI84" s="205">
        <f>IF(ISNUMBER('Income Tax Proforma - Old Schem'!AI183),'Income Tax Proforma - Old Schem'!AI183,0)</f>
        <v>0</v>
      </c>
      <c r="AJ84" s="156"/>
      <c r="AK84" s="156"/>
      <c r="AL84" s="156"/>
      <c r="AM84" s="156"/>
      <c r="AN84" s="156"/>
      <c r="AO84" s="156"/>
      <c r="AP84" s="157"/>
      <c r="AQ84" s="201" t="s">
        <v>25</v>
      </c>
      <c r="AR84" s="252"/>
      <c r="AS84" s="252"/>
      <c r="AT84" s="252"/>
      <c r="AU84" s="252"/>
      <c r="AV84" s="252"/>
      <c r="AW84" s="252"/>
      <c r="AX84" s="352"/>
      <c r="AY84" s="154">
        <v>2026</v>
      </c>
      <c r="AZ84" s="295"/>
      <c r="BA84" s="295"/>
      <c r="BB84" s="296"/>
      <c r="BC84" s="156">
        <f>IF(AND(ISNUMBER(AV78),ISNUMBER(BQ82)),IF(AND(SIGN(AV76-AV74)=-1,SIGN(BP82-AV78)&lt;&gt;1),ROUND(ABS(AV78-SUM(O83:V87,AI83:AP87,BC83,BC85:BJ86)),0),0),0)</f>
        <v>0</v>
      </c>
      <c r="BD84" s="533"/>
      <c r="BE84" s="533"/>
      <c r="BF84" s="533"/>
      <c r="BG84" s="533"/>
      <c r="BH84" s="533"/>
      <c r="BI84" s="533"/>
      <c r="BJ84" s="534"/>
      <c r="BQ84" s="13"/>
    </row>
    <row r="85" spans="2:70" ht="16.5" customHeight="1" x14ac:dyDescent="0.3">
      <c r="B85" s="20"/>
      <c r="C85" s="222" t="s">
        <v>30</v>
      </c>
      <c r="D85" s="295"/>
      <c r="E85" s="295"/>
      <c r="F85" s="295"/>
      <c r="G85" s="295"/>
      <c r="H85" s="295"/>
      <c r="I85" s="295"/>
      <c r="J85" s="295"/>
      <c r="K85" s="154">
        <v>2025</v>
      </c>
      <c r="L85" s="295"/>
      <c r="M85" s="295"/>
      <c r="N85" s="296"/>
      <c r="O85" s="205">
        <f>IF(ISNUMBER('Income Tax Proforma - Old Schem'!O184),'Income Tax Proforma - Old Schem'!O184,0)</f>
        <v>0</v>
      </c>
      <c r="P85" s="156"/>
      <c r="Q85" s="156"/>
      <c r="R85" s="156"/>
      <c r="S85" s="156"/>
      <c r="T85" s="156"/>
      <c r="U85" s="156"/>
      <c r="V85" s="157"/>
      <c r="W85" s="222" t="s">
        <v>34</v>
      </c>
      <c r="X85" s="295"/>
      <c r="Y85" s="295"/>
      <c r="Z85" s="295"/>
      <c r="AA85" s="295"/>
      <c r="AB85" s="295"/>
      <c r="AC85" s="295"/>
      <c r="AD85" s="295"/>
      <c r="AE85" s="154">
        <v>2025</v>
      </c>
      <c r="AF85" s="295"/>
      <c r="AG85" s="295"/>
      <c r="AH85" s="296"/>
      <c r="AI85" s="205">
        <f>IF(ISNUMBER('Income Tax Proforma - Old Schem'!AI184),'Income Tax Proforma - Old Schem'!AI184,0)</f>
        <v>0</v>
      </c>
      <c r="AJ85" s="156"/>
      <c r="AK85" s="156"/>
      <c r="AL85" s="156"/>
      <c r="AM85" s="156"/>
      <c r="AN85" s="156"/>
      <c r="AO85" s="156"/>
      <c r="AP85" s="157"/>
      <c r="AQ85" s="536" t="str">
        <f>IF(ISTEXT('Income Tax Proforma - Old Schem'!AQ184),'Income Tax Proforma - Old Schem'!AQ184,"")</f>
        <v/>
      </c>
      <c r="AR85" s="265"/>
      <c r="AS85" s="265"/>
      <c r="AT85" s="265"/>
      <c r="AU85" s="265"/>
      <c r="AV85" s="265"/>
      <c r="AW85" s="265"/>
      <c r="AX85" s="265"/>
      <c r="AY85" s="265"/>
      <c r="AZ85" s="265"/>
      <c r="BA85" s="265"/>
      <c r="BB85" s="266"/>
      <c r="BC85" s="205">
        <f>IF(ISNUMBER('Income Tax Proforma - Old Schem'!BC184),'Income Tax Proforma - Old Schem'!BC184,0)</f>
        <v>0</v>
      </c>
      <c r="BD85" s="156"/>
      <c r="BE85" s="156"/>
      <c r="BF85" s="156"/>
      <c r="BG85" s="156"/>
      <c r="BH85" s="156"/>
      <c r="BI85" s="156"/>
      <c r="BJ85" s="157"/>
    </row>
    <row r="86" spans="2:70" ht="16.5" customHeight="1" x14ac:dyDescent="0.3">
      <c r="B86" s="20"/>
      <c r="C86" s="222" t="s">
        <v>31</v>
      </c>
      <c r="D86" s="295"/>
      <c r="E86" s="295"/>
      <c r="F86" s="295"/>
      <c r="G86" s="295"/>
      <c r="H86" s="295"/>
      <c r="I86" s="295"/>
      <c r="J86" s="295"/>
      <c r="K86" s="154">
        <v>2025</v>
      </c>
      <c r="L86" s="295"/>
      <c r="M86" s="295"/>
      <c r="N86" s="296"/>
      <c r="O86" s="205">
        <f>IF(ISNUMBER('Income Tax Proforma - Old Schem'!O185),'Income Tax Proforma - Old Schem'!O185,0)</f>
        <v>0</v>
      </c>
      <c r="P86" s="156"/>
      <c r="Q86" s="156"/>
      <c r="R86" s="156"/>
      <c r="S86" s="156"/>
      <c r="T86" s="156"/>
      <c r="U86" s="156"/>
      <c r="V86" s="157"/>
      <c r="W86" s="222" t="s">
        <v>35</v>
      </c>
      <c r="X86" s="295"/>
      <c r="Y86" s="295"/>
      <c r="Z86" s="295"/>
      <c r="AA86" s="295"/>
      <c r="AB86" s="295"/>
      <c r="AC86" s="295"/>
      <c r="AD86" s="295"/>
      <c r="AE86" s="154">
        <v>2025</v>
      </c>
      <c r="AF86" s="295"/>
      <c r="AG86" s="295"/>
      <c r="AH86" s="296"/>
      <c r="AI86" s="205">
        <f>IF(ISNUMBER('Income Tax Proforma - Old Schem'!AI185),'Income Tax Proforma - Old Schem'!AI185,0)</f>
        <v>0</v>
      </c>
      <c r="AJ86" s="156"/>
      <c r="AK86" s="156"/>
      <c r="AL86" s="156"/>
      <c r="AM86" s="156"/>
      <c r="AN86" s="156"/>
      <c r="AO86" s="156"/>
      <c r="AP86" s="157"/>
      <c r="AQ86" s="536" t="str">
        <f>IF(ISTEXT('Income Tax Proforma - Old Schem'!AQ185),'Income Tax Proforma - Old Schem'!AQ185,"")</f>
        <v/>
      </c>
      <c r="AR86" s="265"/>
      <c r="AS86" s="265"/>
      <c r="AT86" s="265"/>
      <c r="AU86" s="265"/>
      <c r="AV86" s="265"/>
      <c r="AW86" s="265"/>
      <c r="AX86" s="265"/>
      <c r="AY86" s="265"/>
      <c r="AZ86" s="265"/>
      <c r="BA86" s="265"/>
      <c r="BB86" s="266"/>
      <c r="BC86" s="205">
        <f>IF(ISNUMBER('Income Tax Proforma - Old Schem'!BC185),'Income Tax Proforma - Old Schem'!BC185,0)</f>
        <v>0</v>
      </c>
      <c r="BD86" s="156"/>
      <c r="BE86" s="156"/>
      <c r="BF86" s="156"/>
      <c r="BG86" s="156"/>
      <c r="BH86" s="156"/>
      <c r="BI86" s="156"/>
      <c r="BJ86" s="157"/>
    </row>
    <row r="87" spans="2:70" ht="16.5" customHeight="1" x14ac:dyDescent="0.3">
      <c r="B87" s="20"/>
      <c r="C87" s="222" t="s">
        <v>32</v>
      </c>
      <c r="D87" s="295"/>
      <c r="E87" s="295"/>
      <c r="F87" s="295"/>
      <c r="G87" s="295"/>
      <c r="H87" s="295"/>
      <c r="I87" s="295"/>
      <c r="J87" s="295"/>
      <c r="K87" s="154">
        <v>2025</v>
      </c>
      <c r="L87" s="295"/>
      <c r="M87" s="295"/>
      <c r="N87" s="296"/>
      <c r="O87" s="205">
        <f>IF(ISNUMBER('Income Tax Proforma - Old Schem'!O186),'Income Tax Proforma - Old Schem'!O186,0)</f>
        <v>0</v>
      </c>
      <c r="P87" s="156"/>
      <c r="Q87" s="156"/>
      <c r="R87" s="156"/>
      <c r="S87" s="156"/>
      <c r="T87" s="156"/>
      <c r="U87" s="156"/>
      <c r="V87" s="157"/>
      <c r="W87" s="222" t="s">
        <v>27</v>
      </c>
      <c r="X87" s="295"/>
      <c r="Y87" s="295"/>
      <c r="Z87" s="295"/>
      <c r="AA87" s="295"/>
      <c r="AB87" s="295"/>
      <c r="AC87" s="295"/>
      <c r="AD87" s="295"/>
      <c r="AE87" s="154">
        <v>2025</v>
      </c>
      <c r="AF87" s="295"/>
      <c r="AG87" s="295"/>
      <c r="AH87" s="296"/>
      <c r="AI87" s="205">
        <f>BR82</f>
        <v>0</v>
      </c>
      <c r="AJ87" s="156"/>
      <c r="AK87" s="156"/>
      <c r="AL87" s="156"/>
      <c r="AM87" s="156"/>
      <c r="AN87" s="156"/>
      <c r="AO87" s="156"/>
      <c r="AP87" s="157"/>
      <c r="AQ87" s="145" t="s">
        <v>4</v>
      </c>
      <c r="AR87" s="276"/>
      <c r="AS87" s="276"/>
      <c r="AT87" s="276"/>
      <c r="AU87" s="276"/>
      <c r="AV87" s="276"/>
      <c r="AW87" s="276"/>
      <c r="AX87" s="276"/>
      <c r="AY87" s="263"/>
      <c r="AZ87" s="263"/>
      <c r="BA87" s="263"/>
      <c r="BB87" s="278"/>
      <c r="BC87" s="156">
        <f>SUM(O83:V87,AI83:AP87,BC83:BJ86)</f>
        <v>0</v>
      </c>
      <c r="BD87" s="533"/>
      <c r="BE87" s="533"/>
      <c r="BF87" s="533"/>
      <c r="BG87" s="533"/>
      <c r="BH87" s="533"/>
      <c r="BI87" s="533"/>
      <c r="BJ87" s="534"/>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192"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38"/>
      <c r="D89" s="538"/>
      <c r="E89" s="538"/>
      <c r="F89" s="538"/>
      <c r="G89" s="538"/>
      <c r="H89" s="538"/>
      <c r="I89" s="538"/>
      <c r="J89" s="538"/>
      <c r="K89" s="538"/>
      <c r="L89" s="538"/>
      <c r="M89" s="538"/>
      <c r="N89" s="538"/>
      <c r="O89" s="538"/>
      <c r="P89" s="538"/>
      <c r="Q89" s="538"/>
      <c r="R89" s="538"/>
      <c r="S89" s="538"/>
      <c r="T89" s="538"/>
      <c r="U89" s="538"/>
      <c r="V89" s="538"/>
      <c r="W89" s="538"/>
      <c r="X89" s="538"/>
      <c r="Y89" s="538"/>
      <c r="Z89" s="538"/>
      <c r="AA89" s="538"/>
      <c r="AB89" s="538"/>
      <c r="AC89" s="538"/>
      <c r="AD89" s="538"/>
      <c r="AE89" s="538"/>
      <c r="AF89" s="538"/>
      <c r="AG89" s="538"/>
      <c r="AH89" s="538"/>
      <c r="AI89" s="538"/>
      <c r="AJ89" s="538"/>
      <c r="AK89" s="538"/>
      <c r="AL89" s="538"/>
      <c r="AM89" s="538"/>
      <c r="AN89" s="538"/>
      <c r="AO89" s="538"/>
      <c r="AP89" s="538"/>
      <c r="AQ89" s="538"/>
      <c r="AR89" s="538"/>
      <c r="AS89" s="538"/>
      <c r="AT89" s="538"/>
      <c r="AU89" s="25"/>
      <c r="AV89" s="193"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24"/>
      <c r="AX89" s="524"/>
      <c r="AY89" s="524"/>
      <c r="AZ89" s="524"/>
      <c r="BA89" s="524"/>
      <c r="BB89" s="524"/>
      <c r="BC89" s="524"/>
      <c r="BD89" s="524"/>
      <c r="BE89" s="524"/>
      <c r="BF89" s="524"/>
      <c r="BG89" s="524"/>
      <c r="BH89" s="524"/>
      <c r="BI89" s="524"/>
      <c r="BJ89" s="525"/>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145" t="s">
        <v>99</v>
      </c>
      <c r="C91" s="276"/>
      <c r="D91" s="276"/>
      <c r="E91" s="276"/>
      <c r="F91" s="276"/>
      <c r="G91" s="276"/>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6"/>
      <c r="AL91" s="276"/>
      <c r="AM91" s="276"/>
      <c r="AN91" s="276"/>
      <c r="AO91" s="276"/>
      <c r="AP91" s="276"/>
      <c r="AQ91" s="276"/>
      <c r="AR91" s="276"/>
      <c r="AS91" s="276"/>
      <c r="AT91" s="276"/>
      <c r="AU91" s="276"/>
      <c r="AV91" s="276"/>
      <c r="AW91" s="276"/>
      <c r="AX91" s="276"/>
      <c r="AY91" s="276"/>
      <c r="AZ91" s="276"/>
      <c r="BA91" s="276"/>
      <c r="BB91" s="276"/>
      <c r="BC91" s="276"/>
      <c r="BD91" s="276"/>
      <c r="BE91" s="276"/>
      <c r="BF91" s="276"/>
      <c r="BG91" s="276"/>
      <c r="BH91" s="276"/>
      <c r="BI91" s="276"/>
      <c r="BJ91" s="277"/>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148" t="s">
        <v>53</v>
      </c>
      <c r="D93" s="148"/>
      <c r="E93" s="149" t="str">
        <f>PROPER(L5)</f>
        <v xml:space="preserve"> </v>
      </c>
      <c r="F93" s="150"/>
      <c r="G93" s="150"/>
      <c r="H93" s="150"/>
      <c r="I93" s="150"/>
      <c r="J93" s="150"/>
      <c r="K93" s="150"/>
      <c r="L93" s="150"/>
      <c r="M93" s="150"/>
      <c r="N93" s="150"/>
      <c r="O93" s="150"/>
      <c r="P93" s="150"/>
      <c r="Q93" s="150"/>
      <c r="R93" s="150"/>
      <c r="S93" s="150"/>
      <c r="T93" s="150"/>
      <c r="U93" s="150"/>
      <c r="V93" s="150"/>
      <c r="W93" s="150"/>
      <c r="X93" s="150"/>
      <c r="Y93" s="150"/>
      <c r="Z93" s="148" t="s">
        <v>100</v>
      </c>
      <c r="AA93" s="362"/>
      <c r="AB93" s="362"/>
      <c r="AC93" s="362"/>
      <c r="AD93" s="362"/>
      <c r="AE93" s="362"/>
      <c r="AF93" s="362"/>
      <c r="AG93" s="362"/>
      <c r="AH93" s="362"/>
      <c r="AI93" s="149" t="str">
        <f>IF(ISBLANK('Basic Information'!L8)," ",PROPER('Basic Information'!L8))</f>
        <v xml:space="preserve"> </v>
      </c>
      <c r="AJ93" s="537"/>
      <c r="AK93" s="537"/>
      <c r="AL93" s="537"/>
      <c r="AM93" s="537"/>
      <c r="AN93" s="537"/>
      <c r="AO93" s="537"/>
      <c r="AP93" s="537"/>
      <c r="AQ93" s="537"/>
      <c r="AR93" s="537"/>
      <c r="AS93" s="537"/>
      <c r="AT93" s="537"/>
      <c r="AU93" s="537"/>
      <c r="AV93" s="537"/>
      <c r="AW93" s="537"/>
      <c r="AX93" s="537"/>
      <c r="AY93" s="537"/>
      <c r="AZ93" s="148" t="s">
        <v>101</v>
      </c>
      <c r="BA93" s="148"/>
      <c r="BB93" s="148"/>
      <c r="BC93" s="148"/>
      <c r="BD93" s="148"/>
      <c r="BE93" s="148"/>
      <c r="BF93" s="148"/>
      <c r="BG93" s="148"/>
      <c r="BH93" s="148"/>
      <c r="BI93" s="148"/>
      <c r="BJ93" s="151"/>
    </row>
    <row r="94" spans="2:70" x14ac:dyDescent="0.3">
      <c r="B94" s="20"/>
      <c r="C94" s="148" t="s">
        <v>102</v>
      </c>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26"/>
    </row>
    <row r="95" spans="2:70" x14ac:dyDescent="0.3">
      <c r="B95" s="20"/>
      <c r="C95" s="148" t="s">
        <v>234</v>
      </c>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26"/>
    </row>
    <row r="96" spans="2:70" x14ac:dyDescent="0.3">
      <c r="B96" s="20"/>
      <c r="C96" s="148" t="s">
        <v>104</v>
      </c>
      <c r="D96" s="362"/>
      <c r="E96" s="362"/>
      <c r="F96" s="362"/>
      <c r="G96" s="362"/>
      <c r="H96" s="362"/>
      <c r="I96" s="362"/>
      <c r="J96" s="362"/>
      <c r="K96" s="362"/>
      <c r="L96" s="362"/>
      <c r="M96" s="362"/>
      <c r="N96" s="362"/>
      <c r="O96" s="362"/>
      <c r="P96" s="362"/>
      <c r="Q96" s="362"/>
      <c r="R96" s="362"/>
      <c r="S96" s="362"/>
      <c r="T96" s="362"/>
      <c r="U96" s="362"/>
      <c r="V96" s="362"/>
      <c r="W96" s="362"/>
      <c r="X96" s="362"/>
      <c r="Y96" s="149" t="str">
        <f>UPPER(AN5)</f>
        <v xml:space="preserve"> </v>
      </c>
      <c r="Z96" s="537"/>
      <c r="AA96" s="537"/>
      <c r="AB96" s="537"/>
      <c r="AC96" s="537"/>
      <c r="AD96" s="537"/>
      <c r="AE96" s="537"/>
      <c r="AF96" s="537"/>
      <c r="AG96" s="362"/>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48" t="s">
        <v>14</v>
      </c>
      <c r="AG99" s="362"/>
      <c r="AH99" s="362"/>
      <c r="AI99" s="362"/>
      <c r="AJ99" s="362"/>
      <c r="AK99" s="362"/>
      <c r="AL99" s="362"/>
      <c r="AM99" s="362"/>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187" t="s">
        <v>11</v>
      </c>
      <c r="C101" s="362"/>
      <c r="D101" s="362"/>
      <c r="E101" s="362"/>
      <c r="F101" s="362"/>
      <c r="G101" s="27" t="s">
        <v>5</v>
      </c>
      <c r="H101" s="150" t="str">
        <f>IF(ISBLANK('Basic Information'!H29)," ",PROPER('Basic Information'!H29))</f>
        <v xml:space="preserve"> </v>
      </c>
      <c r="I101" s="321"/>
      <c r="J101" s="321"/>
      <c r="K101" s="321"/>
      <c r="L101" s="321"/>
      <c r="M101" s="321"/>
      <c r="N101" s="321"/>
      <c r="O101" s="321"/>
      <c r="P101" s="321"/>
      <c r="Q101" s="321"/>
      <c r="R101" s="321"/>
      <c r="S101" s="321"/>
      <c r="T101" s="321"/>
      <c r="U101" s="321"/>
      <c r="V101" s="321"/>
      <c r="W101" s="321"/>
      <c r="X101" s="321"/>
      <c r="Y101" s="321"/>
      <c r="Z101" s="12"/>
      <c r="AA101" s="12"/>
      <c r="AB101" s="12"/>
      <c r="AC101" s="12"/>
      <c r="AD101" s="12"/>
      <c r="AE101" s="12"/>
      <c r="AF101" s="148" t="s">
        <v>13</v>
      </c>
      <c r="AG101" s="362"/>
      <c r="AH101" s="362"/>
      <c r="AI101" s="362"/>
      <c r="AJ101" s="362"/>
      <c r="AK101" s="362"/>
      <c r="AL101" s="362"/>
      <c r="AM101" s="362"/>
      <c r="AN101" s="27" t="s">
        <v>5</v>
      </c>
      <c r="AO101" s="540" t="str">
        <f>PROPER(L5)</f>
        <v xml:space="preserve"> </v>
      </c>
      <c r="AP101" s="541"/>
      <c r="AQ101" s="541"/>
      <c r="AR101" s="541"/>
      <c r="AS101" s="541"/>
      <c r="AT101" s="541"/>
      <c r="AU101" s="541"/>
      <c r="AV101" s="541"/>
      <c r="AW101" s="541"/>
      <c r="AX101" s="541"/>
      <c r="AY101" s="541"/>
      <c r="AZ101" s="541"/>
      <c r="BA101" s="541"/>
      <c r="BB101" s="541"/>
      <c r="BC101" s="541"/>
      <c r="BD101" s="541"/>
      <c r="BE101" s="541"/>
      <c r="BF101" s="541"/>
      <c r="BG101" s="541"/>
      <c r="BH101" s="541"/>
      <c r="BI101" s="541"/>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187" t="s">
        <v>12</v>
      </c>
      <c r="C103" s="362"/>
      <c r="D103" s="362"/>
      <c r="E103" s="362"/>
      <c r="F103" s="362"/>
      <c r="G103" s="27" t="s">
        <v>5</v>
      </c>
      <c r="H103" s="150" t="str">
        <f>IF(ISBLANK('Basic Information'!H31)," ",'Basic Information'!H31)</f>
        <v xml:space="preserve"> </v>
      </c>
      <c r="I103" s="321"/>
      <c r="J103" s="321"/>
      <c r="K103" s="321"/>
      <c r="L103" s="321"/>
      <c r="M103" s="321"/>
      <c r="N103" s="321"/>
      <c r="O103" s="321"/>
      <c r="P103" s="321"/>
      <c r="Q103" s="321"/>
      <c r="R103" s="321"/>
      <c r="S103" s="321"/>
      <c r="T103" s="12"/>
      <c r="U103" s="12"/>
      <c r="V103" s="12"/>
      <c r="W103" s="12"/>
      <c r="X103" s="12"/>
      <c r="Y103" s="12"/>
      <c r="Z103" s="12"/>
      <c r="AA103" s="12"/>
      <c r="AB103" s="12"/>
      <c r="AC103" s="12"/>
      <c r="AD103" s="12"/>
      <c r="AE103" s="12"/>
      <c r="AF103" s="148" t="s">
        <v>15</v>
      </c>
      <c r="AG103" s="362"/>
      <c r="AH103" s="362"/>
      <c r="AI103" s="362"/>
      <c r="AJ103" s="362"/>
      <c r="AK103" s="362"/>
      <c r="AL103" s="362"/>
      <c r="AM103" s="362"/>
      <c r="AN103" s="27" t="s">
        <v>5</v>
      </c>
      <c r="AO103" s="540" t="str">
        <f>PROPER(L7)</f>
        <v xml:space="preserve"> </v>
      </c>
      <c r="AP103" s="541"/>
      <c r="AQ103" s="541"/>
      <c r="AR103" s="541"/>
      <c r="AS103" s="541"/>
      <c r="AT103" s="541"/>
      <c r="AU103" s="541"/>
      <c r="AV103" s="541"/>
      <c r="AW103" s="541"/>
      <c r="AX103" s="541"/>
      <c r="AY103" s="541"/>
      <c r="AZ103" s="541"/>
      <c r="BA103" s="541"/>
      <c r="BB103" s="541"/>
      <c r="BC103" s="541"/>
      <c r="BD103" s="541"/>
      <c r="BE103" s="541"/>
      <c r="BF103" s="541"/>
      <c r="BG103" s="541"/>
      <c r="BH103" s="541"/>
      <c r="BI103" s="541"/>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148" t="s">
        <v>6</v>
      </c>
      <c r="Y105" s="362"/>
      <c r="Z105" s="362"/>
      <c r="AA105" s="362"/>
      <c r="AB105" s="362"/>
      <c r="AC105" s="362"/>
      <c r="AD105" s="362"/>
      <c r="AE105" s="362"/>
      <c r="AF105" s="362"/>
      <c r="AG105" s="362"/>
      <c r="AH105" s="362"/>
      <c r="AI105" s="362"/>
      <c r="AJ105" s="362"/>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07" t="str">
        <f>IF(ISTEXT('Basic Information'!AG27),PROPER('Basic Information'!AG27),"")</f>
        <v/>
      </c>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308" t="str">
        <f>IF(ISBLANK('Basic Information'!V3),"",PROPER('Basic Information'!V3))</f>
        <v/>
      </c>
      <c r="AP109" s="115"/>
      <c r="AQ109" s="115"/>
      <c r="AR109" s="115"/>
      <c r="AS109" s="115"/>
      <c r="AT109" s="115"/>
      <c r="AU109" s="115"/>
      <c r="AV109" s="115"/>
      <c r="AW109" s="115"/>
      <c r="AX109" s="115"/>
      <c r="AY109" s="115"/>
      <c r="AZ109" s="115"/>
      <c r="BA109" s="115"/>
      <c r="BB109" s="115"/>
      <c r="BC109" s="115"/>
      <c r="BD109" s="115"/>
      <c r="BE109" s="115"/>
      <c r="BF109" s="115"/>
      <c r="BG109" s="115"/>
      <c r="BH109" s="115"/>
      <c r="BI109" s="115"/>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39"/>
      <c r="AP110" s="539"/>
      <c r="AQ110" s="539"/>
      <c r="AR110" s="539"/>
      <c r="AS110" s="539"/>
      <c r="AT110" s="539"/>
      <c r="AU110" s="539"/>
      <c r="AV110" s="539"/>
      <c r="AW110" s="539"/>
      <c r="AX110" s="539"/>
      <c r="AY110" s="539"/>
      <c r="AZ110" s="539"/>
      <c r="BA110" s="539"/>
      <c r="BB110" s="539"/>
      <c r="BC110" s="539"/>
      <c r="BD110" s="539"/>
      <c r="BE110" s="539"/>
      <c r="BF110" s="539"/>
      <c r="BG110" s="539"/>
      <c r="BH110" s="539"/>
      <c r="BI110" s="539"/>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uaDIxadMPSdiaXjgtz/jOTeA8wFXAwbkTTedCr3jZH/hpznomeNXppz67glZXRBHN7DXRBLqfzGydo20jV5NHg==" saltValue="Xzkgvs/SXGUyztGBZlyPmg==" spinCount="100000" sheet="1" objects="1" scenarios="1" selectLockedCells="1"/>
  <mergeCells count="244">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 ref="AQ87:BB87"/>
    <mergeCell ref="BC87:BJ87"/>
    <mergeCell ref="AI93:AY93"/>
    <mergeCell ref="AZ93:BJ93"/>
    <mergeCell ref="B91:BJ91"/>
    <mergeCell ref="B89:AT89"/>
    <mergeCell ref="AV89:BJ89"/>
    <mergeCell ref="C87:J87"/>
    <mergeCell ref="K87:N87"/>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AF28:AG28"/>
    <mergeCell ref="AH28:AY28"/>
    <mergeCell ref="AH30:AY30"/>
    <mergeCell ref="B32:AG32"/>
    <mergeCell ref="K23:Q23"/>
    <mergeCell ref="R23:X23"/>
    <mergeCell ref="Y23:AE23"/>
    <mergeCell ref="AF23:AL23"/>
    <mergeCell ref="AF26:AG26"/>
    <mergeCell ref="AH26:AY26"/>
    <mergeCell ref="C30:T30"/>
    <mergeCell ref="V30:AE30"/>
    <mergeCell ref="B23:G23"/>
    <mergeCell ref="B24:J24"/>
    <mergeCell ref="K24:Q24"/>
    <mergeCell ref="R24:X24"/>
    <mergeCell ref="Y24:AE24"/>
    <mergeCell ref="AF24:AL24"/>
    <mergeCell ref="BR14:BV14"/>
    <mergeCell ref="B12:G12"/>
    <mergeCell ref="H12:J12"/>
    <mergeCell ref="K12:Q12"/>
    <mergeCell ref="R12:X12"/>
    <mergeCell ref="Y12:AE12"/>
    <mergeCell ref="AF12:AL12"/>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B1:BJ1"/>
    <mergeCell ref="B2:BJ2"/>
    <mergeCell ref="H13:J13"/>
    <mergeCell ref="K13:Q13"/>
    <mergeCell ref="R13:X13"/>
    <mergeCell ref="Y13:AE13"/>
    <mergeCell ref="AF13:AL13"/>
    <mergeCell ref="B11:J11"/>
    <mergeCell ref="K11:Q11"/>
    <mergeCell ref="R11:X11"/>
    <mergeCell ref="Y11:AE11"/>
    <mergeCell ref="AF11:AL11"/>
    <mergeCell ref="B9:AH9"/>
    <mergeCell ref="BQ2:BU3"/>
    <mergeCell ref="B3:BJ3"/>
    <mergeCell ref="BQ4:BU5"/>
    <mergeCell ref="B5:J5"/>
    <mergeCell ref="L5:AE5"/>
    <mergeCell ref="AG5:AL5"/>
    <mergeCell ref="AN5:BE5"/>
    <mergeCell ref="B7:J7"/>
    <mergeCell ref="L7:AE7"/>
    <mergeCell ref="BR6:BU7"/>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P67:BV69"/>
    <mergeCell ref="BL57:BV59"/>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21:G21"/>
    <mergeCell ref="H21:J21"/>
    <mergeCell ref="K21:Q21"/>
    <mergeCell ref="R21:X21"/>
    <mergeCell ref="Y21:AE21"/>
    <mergeCell ref="AF21:AL21"/>
    <mergeCell ref="H23:J23"/>
    <mergeCell ref="V26:AE26"/>
    <mergeCell ref="V28:AE28"/>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345" t="s">
        <v>74</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58"/>
      <c r="AP2" s="58"/>
      <c r="AR2" s="289" t="s">
        <v>143</v>
      </c>
      <c r="AS2" s="289"/>
      <c r="AT2" s="289"/>
      <c r="AU2" s="289"/>
      <c r="AV2" s="289"/>
      <c r="AW2" s="289"/>
    </row>
    <row r="3" spans="2:50" ht="15" customHeight="1" x14ac:dyDescent="0.3">
      <c r="B3" s="346" t="s">
        <v>39</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60"/>
      <c r="AP3" s="60"/>
      <c r="AR3" s="289"/>
      <c r="AS3" s="289"/>
      <c r="AT3" s="289"/>
      <c r="AU3" s="289"/>
      <c r="AV3" s="289"/>
      <c r="AW3" s="289"/>
    </row>
    <row r="4" spans="2:50" ht="15" x14ac:dyDescent="0.3">
      <c r="B4" s="59"/>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R4" s="115"/>
      <c r="AS4" s="115"/>
      <c r="AT4" s="115"/>
      <c r="AU4" s="115"/>
      <c r="AV4" s="115"/>
      <c r="AW4" s="115"/>
    </row>
    <row r="5" spans="2:50" ht="15" customHeight="1" x14ac:dyDescent="0.3">
      <c r="B5" s="346" t="s">
        <v>225</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59"/>
      <c r="AP5" s="59"/>
      <c r="AR5" s="550" t="s">
        <v>20</v>
      </c>
      <c r="AS5" s="550"/>
      <c r="AT5" s="550"/>
      <c r="AU5" s="61"/>
    </row>
    <row r="6" spans="2:50" ht="15" x14ac:dyDescent="0.3">
      <c r="B6" s="59"/>
      <c r="C6" s="60"/>
      <c r="D6" s="346" t="s">
        <v>228</v>
      </c>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4"/>
      <c r="AP6" s="14"/>
      <c r="AR6" s="550"/>
      <c r="AS6" s="550"/>
      <c r="AT6" s="550"/>
    </row>
    <row r="7" spans="2:50" ht="15" customHeight="1" x14ac:dyDescent="0.3">
      <c r="B7" s="346" t="s">
        <v>211</v>
      </c>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59"/>
      <c r="AP7" s="59"/>
      <c r="AS7" s="160" t="s">
        <v>121</v>
      </c>
      <c r="AT7" s="160"/>
      <c r="AU7" s="160"/>
      <c r="AV7" s="160"/>
    </row>
    <row r="8" spans="2:50" ht="15" customHeight="1" x14ac:dyDescent="0.3">
      <c r="B8" s="346" t="s">
        <v>40</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59"/>
      <c r="AP8" s="59"/>
      <c r="AS8" s="160"/>
      <c r="AT8" s="160"/>
      <c r="AU8" s="160"/>
      <c r="AV8" s="160"/>
    </row>
    <row r="9" spans="2:50" ht="15" customHeight="1" x14ac:dyDescent="0.3">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R9" s="550" t="s">
        <v>21</v>
      </c>
      <c r="AS9" s="550"/>
      <c r="AT9" s="550"/>
      <c r="AU9" s="550"/>
      <c r="AV9" s="550"/>
      <c r="AW9" s="61"/>
      <c r="AX9" s="61"/>
    </row>
    <row r="10" spans="2:50" ht="15" customHeight="1" x14ac:dyDescent="0.3">
      <c r="B10" s="1"/>
      <c r="C10" s="348" t="s">
        <v>38</v>
      </c>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1"/>
      <c r="AP10" s="1"/>
      <c r="AR10" s="550"/>
      <c r="AS10" s="550"/>
      <c r="AT10" s="550"/>
      <c r="AU10" s="550"/>
      <c r="AV10" s="550"/>
      <c r="AW10" s="61"/>
      <c r="AX10" s="61"/>
    </row>
    <row r="11" spans="2:50" ht="15" customHeight="1" x14ac:dyDescent="0.3">
      <c r="B11" s="1"/>
      <c r="C11" s="350">
        <v>1</v>
      </c>
      <c r="D11" s="350" t="s">
        <v>80</v>
      </c>
      <c r="E11" s="252"/>
      <c r="F11" s="252"/>
      <c r="G11" s="252"/>
      <c r="H11" s="252"/>
      <c r="I11" s="252"/>
      <c r="J11" s="252"/>
      <c r="K11" s="252"/>
      <c r="L11" s="252"/>
      <c r="M11" s="252"/>
      <c r="N11" s="252"/>
      <c r="O11" s="252"/>
      <c r="P11" s="252"/>
      <c r="Q11" s="252"/>
      <c r="R11" s="252"/>
      <c r="S11" s="352"/>
      <c r="T11" s="10" t="s">
        <v>5</v>
      </c>
      <c r="U11" s="353" t="str">
        <f>IF(ISBLANK('Basic Information'!L6)," ",PROPER('Basic Information'!L6))</f>
        <v xml:space="preserve"> </v>
      </c>
      <c r="V11" s="353"/>
      <c r="W11" s="353"/>
      <c r="X11" s="353"/>
      <c r="Y11" s="353"/>
      <c r="Z11" s="353"/>
      <c r="AA11" s="353"/>
      <c r="AB11" s="353"/>
      <c r="AC11" s="353"/>
      <c r="AD11" s="353"/>
      <c r="AE11" s="353"/>
      <c r="AF11" s="353"/>
      <c r="AG11" s="353"/>
      <c r="AH11" s="353"/>
      <c r="AI11" s="353"/>
      <c r="AJ11" s="353"/>
      <c r="AK11" s="353"/>
      <c r="AL11" s="353"/>
      <c r="AM11" s="353"/>
      <c r="AN11" s="353"/>
      <c r="AO11" s="59"/>
      <c r="AP11" s="59"/>
      <c r="AR11" s="164" t="s">
        <v>120</v>
      </c>
      <c r="AS11" s="164"/>
      <c r="AT11" s="164"/>
      <c r="AU11" s="164"/>
      <c r="AV11" s="164"/>
      <c r="AW11" s="164"/>
      <c r="AX11" s="62"/>
    </row>
    <row r="12" spans="2:50" ht="15" customHeight="1" x14ac:dyDescent="0.3">
      <c r="B12" s="1"/>
      <c r="C12" s="350"/>
      <c r="D12" s="354" t="s">
        <v>136</v>
      </c>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59"/>
      <c r="AP12" s="59"/>
      <c r="AR12" s="164"/>
      <c r="AS12" s="164"/>
      <c r="AT12" s="164"/>
      <c r="AU12" s="164"/>
      <c r="AV12" s="164"/>
      <c r="AW12" s="164"/>
      <c r="AX12" s="62"/>
    </row>
    <row r="13" spans="2:50" ht="15" customHeight="1" x14ac:dyDescent="0.3">
      <c r="B13" s="1"/>
      <c r="C13" s="350"/>
      <c r="D13" s="350" t="s">
        <v>109</v>
      </c>
      <c r="E13" s="252"/>
      <c r="F13" s="252"/>
      <c r="G13" s="252"/>
      <c r="H13" s="252"/>
      <c r="I13" s="252"/>
      <c r="J13" s="252"/>
      <c r="K13" s="252"/>
      <c r="L13" s="252"/>
      <c r="M13" s="252"/>
      <c r="N13" s="252"/>
      <c r="O13" s="252"/>
      <c r="P13" s="252"/>
      <c r="Q13" s="252"/>
      <c r="R13" s="252"/>
      <c r="S13" s="352"/>
      <c r="T13" s="10" t="s">
        <v>5</v>
      </c>
      <c r="U13" s="549" t="str">
        <f>IF(ISBLANK('Form 10E - Old Scheme'!U13),"",'Form 10E - Old Scheme'!U13)</f>
        <v/>
      </c>
      <c r="V13" s="549"/>
      <c r="W13" s="549"/>
      <c r="X13" s="549"/>
      <c r="Y13" s="549"/>
      <c r="Z13" s="549"/>
      <c r="AA13" s="549"/>
      <c r="AB13" s="549"/>
      <c r="AC13" s="549"/>
      <c r="AD13" s="549"/>
      <c r="AE13" s="549"/>
      <c r="AF13" s="549"/>
      <c r="AG13" s="549"/>
      <c r="AH13" s="549"/>
      <c r="AI13" s="549"/>
      <c r="AJ13" s="549"/>
      <c r="AK13" s="549"/>
      <c r="AL13" s="549"/>
      <c r="AM13" s="549"/>
      <c r="AN13" s="549"/>
      <c r="AO13" s="1"/>
      <c r="AP13" s="1"/>
      <c r="AR13" s="542" t="s">
        <v>36</v>
      </c>
      <c r="AS13" s="542"/>
      <c r="AT13" s="542"/>
      <c r="AU13" s="542"/>
      <c r="AV13" s="542"/>
      <c r="AW13" s="542"/>
      <c r="AX13" s="62"/>
    </row>
    <row r="14" spans="2:50" ht="15" customHeight="1" x14ac:dyDescent="0.3">
      <c r="B14" s="1"/>
      <c r="C14" s="350"/>
      <c r="D14" s="350" t="s">
        <v>110</v>
      </c>
      <c r="E14" s="252"/>
      <c r="F14" s="252"/>
      <c r="G14" s="252"/>
      <c r="H14" s="252"/>
      <c r="I14" s="252"/>
      <c r="J14" s="252"/>
      <c r="K14" s="252"/>
      <c r="L14" s="252"/>
      <c r="M14" s="252"/>
      <c r="N14" s="252"/>
      <c r="O14" s="252"/>
      <c r="P14" s="252"/>
      <c r="Q14" s="252"/>
      <c r="R14" s="252"/>
      <c r="S14" s="352"/>
      <c r="T14" s="10" t="s">
        <v>5</v>
      </c>
      <c r="U14" s="353" t="str">
        <f>IF(ISBLANK('Form 10E - Old Scheme'!U14),"",'Form 10E - Old Scheme'!U14)</f>
        <v/>
      </c>
      <c r="V14" s="353"/>
      <c r="W14" s="353"/>
      <c r="X14" s="353"/>
      <c r="Y14" s="353"/>
      <c r="Z14" s="353"/>
      <c r="AA14" s="353"/>
      <c r="AB14" s="353"/>
      <c r="AC14" s="353"/>
      <c r="AD14" s="353"/>
      <c r="AE14" s="353"/>
      <c r="AF14" s="353"/>
      <c r="AG14" s="353"/>
      <c r="AH14" s="353"/>
      <c r="AI14" s="353"/>
      <c r="AJ14" s="353"/>
      <c r="AK14" s="353"/>
      <c r="AL14" s="353"/>
      <c r="AM14" s="353"/>
      <c r="AN14" s="353"/>
      <c r="AO14" s="1"/>
      <c r="AP14" s="1"/>
      <c r="AR14" s="542"/>
      <c r="AS14" s="542"/>
      <c r="AT14" s="542"/>
      <c r="AU14" s="542"/>
      <c r="AV14" s="542"/>
      <c r="AW14" s="542"/>
      <c r="AX14" s="62"/>
    </row>
    <row r="15" spans="2:50" ht="15" customHeight="1" x14ac:dyDescent="0.3">
      <c r="B15" s="1"/>
      <c r="C15" s="350"/>
      <c r="D15" s="350" t="s">
        <v>108</v>
      </c>
      <c r="E15" s="252"/>
      <c r="F15" s="252"/>
      <c r="G15" s="252"/>
      <c r="H15" s="252"/>
      <c r="I15" s="252"/>
      <c r="J15" s="252"/>
      <c r="K15" s="252"/>
      <c r="L15" s="252"/>
      <c r="M15" s="252"/>
      <c r="N15" s="252"/>
      <c r="O15" s="252"/>
      <c r="P15" s="252"/>
      <c r="Q15" s="252"/>
      <c r="R15" s="252"/>
      <c r="S15" s="352"/>
      <c r="T15" s="10" t="s">
        <v>5</v>
      </c>
      <c r="U15" s="549" t="str">
        <f>IF(ISBLANK('Form 10E - Old Scheme'!U15),"",'Form 10E - Old Scheme'!U15)</f>
        <v/>
      </c>
      <c r="V15" s="549"/>
      <c r="W15" s="549"/>
      <c r="X15" s="549"/>
      <c r="Y15" s="549"/>
      <c r="Z15" s="549"/>
      <c r="AA15" s="549"/>
      <c r="AB15" s="549"/>
      <c r="AC15" s="549"/>
      <c r="AD15" s="549"/>
      <c r="AE15" s="549"/>
      <c r="AF15" s="549"/>
      <c r="AG15" s="549"/>
      <c r="AH15" s="549"/>
      <c r="AI15" s="549"/>
      <c r="AJ15" s="549"/>
      <c r="AK15" s="549"/>
      <c r="AL15" s="549"/>
      <c r="AM15" s="549"/>
      <c r="AN15" s="549"/>
      <c r="AO15" s="1"/>
      <c r="AP15" s="1"/>
      <c r="AS15" s="338" t="s">
        <v>22</v>
      </c>
      <c r="AT15" s="362"/>
      <c r="AU15" s="362"/>
      <c r="AV15" s="543"/>
      <c r="AW15" s="544"/>
      <c r="AX15" s="62"/>
    </row>
    <row r="16" spans="2:50" ht="15" customHeight="1" x14ac:dyDescent="0.3">
      <c r="B16" s="1"/>
      <c r="C16" s="350"/>
      <c r="D16" s="350" t="s">
        <v>107</v>
      </c>
      <c r="E16" s="252"/>
      <c r="F16" s="252"/>
      <c r="G16" s="252"/>
      <c r="H16" s="252"/>
      <c r="I16" s="252"/>
      <c r="J16" s="252"/>
      <c r="K16" s="252"/>
      <c r="L16" s="252"/>
      <c r="M16" s="252"/>
      <c r="N16" s="252"/>
      <c r="O16" s="252"/>
      <c r="P16" s="252"/>
      <c r="Q16" s="252"/>
      <c r="R16" s="252"/>
      <c r="S16" s="352"/>
      <c r="T16" s="10" t="s">
        <v>5</v>
      </c>
      <c r="U16" s="353" t="str">
        <f>IF(ISBLANK('Form 10E - Old Scheme'!U16),"",'Form 10E - Old Scheme'!U16)</f>
        <v/>
      </c>
      <c r="V16" s="353"/>
      <c r="W16" s="353"/>
      <c r="X16" s="353"/>
      <c r="Y16" s="353"/>
      <c r="Z16" s="353"/>
      <c r="AA16" s="353"/>
      <c r="AB16" s="353"/>
      <c r="AC16" s="353"/>
      <c r="AD16" s="353"/>
      <c r="AE16" s="353"/>
      <c r="AF16" s="353"/>
      <c r="AG16" s="353"/>
      <c r="AH16" s="353"/>
      <c r="AI16" s="353"/>
      <c r="AJ16" s="353"/>
      <c r="AK16" s="353"/>
      <c r="AL16" s="353"/>
      <c r="AM16" s="353"/>
      <c r="AN16" s="353"/>
      <c r="AO16" s="1"/>
      <c r="AP16" s="1"/>
      <c r="AS16" s="69"/>
      <c r="AT16" s="69"/>
      <c r="AU16" s="69"/>
      <c r="AV16" s="62"/>
      <c r="AW16" s="70"/>
      <c r="AX16" s="62"/>
    </row>
    <row r="17" spans="2:51" ht="15" customHeight="1" x14ac:dyDescent="0.3">
      <c r="B17" s="1"/>
      <c r="C17" s="350"/>
      <c r="D17" s="350" t="s">
        <v>106</v>
      </c>
      <c r="E17" s="252"/>
      <c r="F17" s="252"/>
      <c r="G17" s="252"/>
      <c r="H17" s="252"/>
      <c r="I17" s="252"/>
      <c r="J17" s="252"/>
      <c r="K17" s="252"/>
      <c r="L17" s="252"/>
      <c r="M17" s="252"/>
      <c r="N17" s="252"/>
      <c r="O17" s="252"/>
      <c r="P17" s="252"/>
      <c r="Q17" s="252"/>
      <c r="R17" s="252"/>
      <c r="S17" s="352"/>
      <c r="T17" s="10" t="s">
        <v>5</v>
      </c>
      <c r="U17" s="549" t="str">
        <f>IF(ISBLANK('Form 10E - Old Scheme'!U17),"",'Form 10E - Old Scheme'!U17)</f>
        <v/>
      </c>
      <c r="V17" s="549"/>
      <c r="W17" s="549"/>
      <c r="X17" s="549"/>
      <c r="Y17" s="549"/>
      <c r="Z17" s="549"/>
      <c r="AA17" s="549"/>
      <c r="AB17" s="549"/>
      <c r="AC17" s="549"/>
      <c r="AD17" s="549"/>
      <c r="AE17" s="549"/>
      <c r="AF17" s="549"/>
      <c r="AG17" s="549"/>
      <c r="AH17" s="549"/>
      <c r="AI17" s="549"/>
      <c r="AJ17" s="549"/>
      <c r="AK17" s="549"/>
      <c r="AL17" s="549"/>
      <c r="AM17" s="549"/>
      <c r="AN17" s="549"/>
      <c r="AO17" s="1"/>
      <c r="AP17" s="1"/>
      <c r="AU17" s="62"/>
      <c r="AV17" s="62"/>
      <c r="AW17" s="62"/>
      <c r="AX17" s="62"/>
    </row>
    <row r="18" spans="2:51" ht="15" customHeight="1" x14ac:dyDescent="0.3">
      <c r="B18" s="1"/>
      <c r="C18" s="350"/>
      <c r="D18" s="350" t="s">
        <v>81</v>
      </c>
      <c r="E18" s="252"/>
      <c r="F18" s="252"/>
      <c r="G18" s="252"/>
      <c r="H18" s="252"/>
      <c r="I18" s="252"/>
      <c r="J18" s="252"/>
      <c r="K18" s="252"/>
      <c r="L18" s="252"/>
      <c r="M18" s="252"/>
      <c r="N18" s="252"/>
      <c r="O18" s="252"/>
      <c r="P18" s="252"/>
      <c r="Q18" s="252"/>
      <c r="R18" s="252"/>
      <c r="S18" s="352"/>
      <c r="T18" s="10" t="s">
        <v>5</v>
      </c>
      <c r="U18" s="353" t="str">
        <f>IF(ISBLANK('Form 10E - Old Scheme'!U18),"",'Form 10E - Old Scheme'!U18)</f>
        <v/>
      </c>
      <c r="V18" s="353"/>
      <c r="W18" s="353"/>
      <c r="X18" s="353"/>
      <c r="Y18" s="353"/>
      <c r="Z18" s="353"/>
      <c r="AA18" s="353"/>
      <c r="AB18" s="353"/>
      <c r="AC18" s="353"/>
      <c r="AD18" s="353"/>
      <c r="AE18" s="353"/>
      <c r="AF18" s="353"/>
      <c r="AG18" s="353"/>
      <c r="AH18" s="353"/>
      <c r="AI18" s="353"/>
      <c r="AJ18" s="353"/>
      <c r="AK18" s="353"/>
      <c r="AL18" s="353"/>
      <c r="AM18" s="353"/>
      <c r="AN18" s="353"/>
      <c r="AO18" s="1"/>
      <c r="AP18" s="1"/>
      <c r="AR18" s="170" t="s">
        <v>135</v>
      </c>
      <c r="AS18" s="170"/>
      <c r="AT18" s="170"/>
      <c r="AU18" s="170"/>
      <c r="AV18" s="170"/>
      <c r="AW18" s="170"/>
      <c r="AX18" s="548"/>
    </row>
    <row r="19" spans="2:51" ht="15" customHeight="1" x14ac:dyDescent="0.3">
      <c r="B19" s="1"/>
      <c r="C19" s="351"/>
      <c r="D19" s="350" t="s">
        <v>137</v>
      </c>
      <c r="E19" s="252"/>
      <c r="F19" s="252"/>
      <c r="G19" s="252"/>
      <c r="H19" s="252"/>
      <c r="I19" s="252"/>
      <c r="J19" s="252"/>
      <c r="K19" s="252"/>
      <c r="L19" s="252"/>
      <c r="M19" s="252"/>
      <c r="N19" s="252"/>
      <c r="O19" s="252"/>
      <c r="P19" s="252"/>
      <c r="Q19" s="252"/>
      <c r="R19" s="252"/>
      <c r="S19" s="352"/>
      <c r="T19" s="10" t="s">
        <v>5</v>
      </c>
      <c r="U19" s="549" t="str">
        <f>IF(ISBLANK('Form 10E - Old Scheme'!U19),"",'Form 10E - Old Scheme'!U19)</f>
        <v/>
      </c>
      <c r="V19" s="549"/>
      <c r="W19" s="549"/>
      <c r="X19" s="549"/>
      <c r="Y19" s="549"/>
      <c r="Z19" s="549"/>
      <c r="AA19" s="549"/>
      <c r="AB19" s="549"/>
      <c r="AC19" s="549"/>
      <c r="AD19" s="549"/>
      <c r="AE19" s="549"/>
      <c r="AF19" s="549"/>
      <c r="AG19" s="549"/>
      <c r="AH19" s="549"/>
      <c r="AI19" s="549"/>
      <c r="AJ19" s="549"/>
      <c r="AK19" s="549"/>
      <c r="AL19" s="549"/>
      <c r="AM19" s="549"/>
      <c r="AN19" s="549"/>
      <c r="AO19" s="1"/>
      <c r="AP19" s="1"/>
      <c r="AR19" s="170"/>
      <c r="AS19" s="170"/>
      <c r="AT19" s="170"/>
      <c r="AU19" s="170"/>
      <c r="AV19" s="170"/>
      <c r="AW19" s="170"/>
      <c r="AX19" s="548"/>
    </row>
    <row r="20" spans="2:51" ht="15" customHeight="1" x14ac:dyDescent="0.3">
      <c r="B20" s="1"/>
      <c r="C20" s="9">
        <v>2</v>
      </c>
      <c r="D20" s="359" t="s">
        <v>41</v>
      </c>
      <c r="E20" s="359"/>
      <c r="F20" s="359"/>
      <c r="G20" s="359"/>
      <c r="H20" s="359"/>
      <c r="I20" s="359"/>
      <c r="J20" s="359"/>
      <c r="K20" s="359"/>
      <c r="L20" s="359"/>
      <c r="M20" s="359"/>
      <c r="N20" s="359"/>
      <c r="O20" s="359"/>
      <c r="P20" s="359"/>
      <c r="Q20" s="359"/>
      <c r="R20" s="359"/>
      <c r="S20" s="360"/>
      <c r="T20" s="11" t="s">
        <v>5</v>
      </c>
      <c r="U20" s="353" t="str">
        <f>IF(ISNONTEXT('Basic Information'!AK6)," ",UPPER('Basic Information'!AK6))</f>
        <v xml:space="preserve"> </v>
      </c>
      <c r="V20" s="353"/>
      <c r="W20" s="353"/>
      <c r="X20" s="353"/>
      <c r="Y20" s="353"/>
      <c r="Z20" s="353"/>
      <c r="AA20" s="353"/>
      <c r="AB20" s="353"/>
      <c r="AC20" s="353"/>
      <c r="AD20" s="353"/>
      <c r="AE20" s="353"/>
      <c r="AF20" s="353"/>
      <c r="AG20" s="353"/>
      <c r="AH20" s="353"/>
      <c r="AI20" s="353"/>
      <c r="AJ20" s="353"/>
      <c r="AK20" s="353"/>
      <c r="AL20" s="353"/>
      <c r="AM20" s="353"/>
      <c r="AN20" s="353"/>
      <c r="AO20" s="1"/>
      <c r="AP20" s="1"/>
      <c r="AR20" s="170"/>
      <c r="AS20" s="170"/>
      <c r="AT20" s="170"/>
      <c r="AU20" s="170"/>
      <c r="AV20" s="170"/>
      <c r="AW20" s="170"/>
      <c r="AX20" s="548"/>
    </row>
    <row r="21" spans="2:51" x14ac:dyDescent="0.3">
      <c r="B21" s="1"/>
      <c r="C21" s="9">
        <v>3</v>
      </c>
      <c r="D21" s="359" t="s">
        <v>42</v>
      </c>
      <c r="E21" s="359"/>
      <c r="F21" s="359"/>
      <c r="G21" s="359"/>
      <c r="H21" s="359"/>
      <c r="I21" s="359"/>
      <c r="J21" s="359"/>
      <c r="K21" s="359"/>
      <c r="L21" s="359"/>
      <c r="M21" s="359"/>
      <c r="N21" s="359"/>
      <c r="O21" s="359"/>
      <c r="P21" s="359"/>
      <c r="Q21" s="359"/>
      <c r="R21" s="359"/>
      <c r="S21" s="360"/>
      <c r="T21" s="11" t="s">
        <v>5</v>
      </c>
      <c r="U21" s="549" t="str">
        <f>IF(ISBLANK('Form 10E - Old Scheme'!U21),"",'Form 10E - Old Scheme'!U21)</f>
        <v/>
      </c>
      <c r="V21" s="549"/>
      <c r="W21" s="549"/>
      <c r="X21" s="549"/>
      <c r="Y21" s="549"/>
      <c r="Z21" s="549"/>
      <c r="AA21" s="549"/>
      <c r="AB21" s="549"/>
      <c r="AC21" s="549"/>
      <c r="AD21" s="549"/>
      <c r="AE21" s="549"/>
      <c r="AF21" s="549"/>
      <c r="AG21" s="549"/>
      <c r="AH21" s="549"/>
      <c r="AI21" s="549"/>
      <c r="AJ21" s="549"/>
      <c r="AK21" s="549"/>
      <c r="AL21" s="549"/>
      <c r="AM21" s="549"/>
      <c r="AN21" s="549"/>
      <c r="AO21" s="1"/>
      <c r="AP21" s="1"/>
      <c r="AR21" s="170"/>
      <c r="AS21" s="170"/>
      <c r="AT21" s="170"/>
      <c r="AU21" s="170"/>
      <c r="AV21" s="170"/>
      <c r="AW21" s="170"/>
      <c r="AX21" s="548"/>
    </row>
    <row r="22" spans="2:51" x14ac:dyDescent="0.3">
      <c r="B22" s="1"/>
      <c r="C22" s="9">
        <v>4</v>
      </c>
      <c r="D22" s="359" t="s">
        <v>44</v>
      </c>
      <c r="E22" s="359"/>
      <c r="F22" s="359"/>
      <c r="G22" s="359"/>
      <c r="H22" s="359"/>
      <c r="I22" s="359"/>
      <c r="J22" s="359"/>
      <c r="K22" s="359"/>
      <c r="L22" s="359"/>
      <c r="M22" s="359"/>
      <c r="N22" s="359"/>
      <c r="O22" s="359"/>
      <c r="P22" s="359"/>
      <c r="Q22" s="359"/>
      <c r="R22" s="359"/>
      <c r="S22" s="360"/>
      <c r="T22" s="11" t="s">
        <v>5</v>
      </c>
      <c r="U22" s="353" t="str">
        <f>IF(ISBLANK('Form 10E - Old Scheme'!U22),"",'Form 10E - Old Scheme'!U22)</f>
        <v/>
      </c>
      <c r="V22" s="353"/>
      <c r="W22" s="353"/>
      <c r="X22" s="353"/>
      <c r="Y22" s="353"/>
      <c r="Z22" s="353"/>
      <c r="AA22" s="353"/>
      <c r="AB22" s="353"/>
      <c r="AC22" s="353"/>
      <c r="AD22" s="353"/>
      <c r="AE22" s="353"/>
      <c r="AF22" s="353"/>
      <c r="AG22" s="353"/>
      <c r="AH22" s="353"/>
      <c r="AI22" s="353"/>
      <c r="AJ22" s="353"/>
      <c r="AK22" s="353"/>
      <c r="AL22" s="353"/>
      <c r="AM22" s="353"/>
      <c r="AN22" s="353"/>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5"/>
      <c r="AV23" s="65"/>
      <c r="AW23" s="1"/>
      <c r="AX23" s="1"/>
    </row>
    <row r="24" spans="2:51" x14ac:dyDescent="0.3">
      <c r="B24" s="1"/>
      <c r="C24" s="347" t="s">
        <v>45</v>
      </c>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60"/>
      <c r="AP24" s="60"/>
    </row>
    <row r="25" spans="2:51" x14ac:dyDescent="0.3">
      <c r="B25" s="1"/>
      <c r="C25" s="1"/>
      <c r="D25" s="1"/>
      <c r="E25" s="1"/>
      <c r="F25" s="1"/>
      <c r="G25" s="361" t="s">
        <v>226</v>
      </c>
      <c r="H25" s="362"/>
      <c r="I25" s="362"/>
      <c r="J25" s="362"/>
      <c r="K25" s="362"/>
      <c r="L25" s="362"/>
      <c r="M25" s="362"/>
      <c r="N25" s="362"/>
      <c r="O25" s="362"/>
      <c r="P25" s="362"/>
      <c r="Q25" s="362"/>
      <c r="R25" s="362"/>
      <c r="S25" s="362"/>
      <c r="T25" s="362"/>
      <c r="U25" s="362"/>
      <c r="V25" s="362"/>
      <c r="W25" s="362"/>
      <c r="X25" s="362"/>
      <c r="Y25" s="362"/>
      <c r="Z25" s="362"/>
      <c r="AA25" s="361" t="s">
        <v>158</v>
      </c>
      <c r="AB25" s="361"/>
      <c r="AC25" s="361"/>
      <c r="AD25" s="361"/>
      <c r="AE25" s="361"/>
      <c r="AF25" s="361"/>
      <c r="AG25" s="361"/>
      <c r="AH25" s="361"/>
      <c r="AI25" s="361"/>
      <c r="AJ25" s="361"/>
      <c r="AK25" s="361"/>
      <c r="AL25" s="361"/>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6" t="s">
        <v>118</v>
      </c>
      <c r="AU26" s="57"/>
      <c r="AV26" s="57"/>
      <c r="AW26" s="57"/>
      <c r="AX26" s="57"/>
      <c r="AY26" s="57"/>
    </row>
    <row r="27" spans="2:51" ht="15" customHeight="1" x14ac:dyDescent="0.3">
      <c r="B27" s="1"/>
      <c r="C27" s="390">
        <v>1</v>
      </c>
      <c r="D27" s="390" t="s">
        <v>8</v>
      </c>
      <c r="E27" s="390"/>
      <c r="F27" s="372" t="s">
        <v>46</v>
      </c>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3"/>
      <c r="AE27" s="394"/>
      <c r="AF27" s="551">
        <f>IF(AND(AP27&gt;='Form 10E - Old Scheme'!AF27,ISNUMBER('Form 10E - Old Scheme'!AF27)),'Form 10E - Old Scheme'!AF27,0)</f>
        <v>0</v>
      </c>
      <c r="AG27" s="552"/>
      <c r="AH27" s="552"/>
      <c r="AI27" s="552"/>
      <c r="AJ27" s="552"/>
      <c r="AK27" s="552"/>
      <c r="AL27" s="552"/>
      <c r="AM27" s="552"/>
      <c r="AN27" s="553"/>
      <c r="AO27" s="3"/>
      <c r="AP27" s="88">
        <f>SUM('Income Tax Proforma - New Schem'!N34,'Income Tax Proforma - New Schem'!AH34,'Income Tax Proforma - New Schem'!BC34)</f>
        <v>0</v>
      </c>
      <c r="AT27" s="53"/>
      <c r="AU27" s="53"/>
      <c r="AV27" s="53"/>
      <c r="AW27" s="53"/>
      <c r="AX27" s="53"/>
      <c r="AY27" s="53"/>
    </row>
    <row r="28" spans="2:51" ht="15" customHeight="1" x14ac:dyDescent="0.3">
      <c r="B28" s="1"/>
      <c r="C28" s="391"/>
      <c r="D28" s="391"/>
      <c r="E28" s="391"/>
      <c r="F28" s="395"/>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7"/>
      <c r="AE28" s="398"/>
      <c r="AF28" s="554"/>
      <c r="AG28" s="554"/>
      <c r="AH28" s="554"/>
      <c r="AI28" s="554"/>
      <c r="AJ28" s="554"/>
      <c r="AK28" s="554"/>
      <c r="AL28" s="554"/>
      <c r="AM28" s="554"/>
      <c r="AN28" s="555"/>
      <c r="AO28" s="3"/>
      <c r="AP28" s="3"/>
      <c r="AT28" s="53"/>
      <c r="AU28" s="53"/>
      <c r="AV28" s="53"/>
      <c r="AW28" s="53"/>
      <c r="AX28" s="53"/>
      <c r="AY28" s="53"/>
    </row>
    <row r="29" spans="2:51" ht="15" customHeight="1" x14ac:dyDescent="0.3">
      <c r="B29" s="1"/>
      <c r="C29" s="363"/>
      <c r="D29" s="366" t="s">
        <v>9</v>
      </c>
      <c r="E29" s="367"/>
      <c r="F29" s="372" t="s">
        <v>75</v>
      </c>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4"/>
      <c r="AF29" s="399" t="s">
        <v>47</v>
      </c>
      <c r="AG29" s="409"/>
      <c r="AH29" s="409"/>
      <c r="AI29" s="409"/>
      <c r="AJ29" s="409"/>
      <c r="AK29" s="409"/>
      <c r="AL29" s="409"/>
      <c r="AM29" s="409"/>
      <c r="AN29" s="410"/>
      <c r="AO29" s="3"/>
      <c r="AP29" s="3"/>
      <c r="AT29" s="53"/>
      <c r="AU29" s="53"/>
      <c r="AV29" s="53"/>
      <c r="AW29" s="53"/>
      <c r="AX29" s="53"/>
      <c r="AY29" s="53"/>
    </row>
    <row r="30" spans="2:51" ht="15" customHeight="1" x14ac:dyDescent="0.3">
      <c r="B30" s="1"/>
      <c r="C30" s="364"/>
      <c r="D30" s="368"/>
      <c r="E30" s="369"/>
      <c r="F30" s="375"/>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7"/>
      <c r="AF30" s="411"/>
      <c r="AG30" s="411"/>
      <c r="AH30" s="411"/>
      <c r="AI30" s="411"/>
      <c r="AJ30" s="411"/>
      <c r="AK30" s="411"/>
      <c r="AL30" s="411"/>
      <c r="AM30" s="411"/>
      <c r="AN30" s="412"/>
      <c r="AO30" s="3"/>
      <c r="AP30" s="3"/>
      <c r="AT30" s="53"/>
      <c r="AU30" s="53"/>
      <c r="AV30" s="53"/>
      <c r="AW30" s="53"/>
      <c r="AX30" s="53"/>
      <c r="AY30" s="53"/>
    </row>
    <row r="31" spans="2:51" x14ac:dyDescent="0.3">
      <c r="B31" s="1"/>
      <c r="C31" s="365"/>
      <c r="D31" s="370"/>
      <c r="E31" s="371"/>
      <c r="F31" s="378"/>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80"/>
      <c r="AF31" s="413"/>
      <c r="AG31" s="413"/>
      <c r="AH31" s="413"/>
      <c r="AI31" s="413"/>
      <c r="AJ31" s="413"/>
      <c r="AK31" s="413"/>
      <c r="AL31" s="413"/>
      <c r="AM31" s="413"/>
      <c r="AN31" s="414"/>
      <c r="AO31" s="3"/>
      <c r="AP31" s="3"/>
    </row>
    <row r="32" spans="2:51" x14ac:dyDescent="0.3">
      <c r="B32" s="1"/>
      <c r="C32" s="363"/>
      <c r="D32" s="366" t="s">
        <v>48</v>
      </c>
      <c r="E32" s="367"/>
      <c r="F32" s="372" t="s">
        <v>76</v>
      </c>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4"/>
      <c r="AF32" s="381" t="s">
        <v>47</v>
      </c>
      <c r="AG32" s="382"/>
      <c r="AH32" s="382"/>
      <c r="AI32" s="382"/>
      <c r="AJ32" s="382"/>
      <c r="AK32" s="382"/>
      <c r="AL32" s="382"/>
      <c r="AM32" s="382"/>
      <c r="AN32" s="383"/>
      <c r="AO32" s="63"/>
      <c r="AP32" s="63"/>
    </row>
    <row r="33" spans="2:42" x14ac:dyDescent="0.3">
      <c r="B33" s="1"/>
      <c r="C33" s="364"/>
      <c r="D33" s="368"/>
      <c r="E33" s="369"/>
      <c r="F33" s="375"/>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7"/>
      <c r="AF33" s="384"/>
      <c r="AG33" s="385"/>
      <c r="AH33" s="385"/>
      <c r="AI33" s="385"/>
      <c r="AJ33" s="385"/>
      <c r="AK33" s="385"/>
      <c r="AL33" s="385"/>
      <c r="AM33" s="385"/>
      <c r="AN33" s="386"/>
      <c r="AO33" s="63"/>
      <c r="AP33" s="63"/>
    </row>
    <row r="34" spans="2:42" x14ac:dyDescent="0.3">
      <c r="B34" s="1"/>
      <c r="C34" s="364"/>
      <c r="D34" s="368"/>
      <c r="E34" s="369"/>
      <c r="F34" s="375"/>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7"/>
      <c r="AF34" s="384"/>
      <c r="AG34" s="385"/>
      <c r="AH34" s="385"/>
      <c r="AI34" s="385"/>
      <c r="AJ34" s="385"/>
      <c r="AK34" s="385"/>
      <c r="AL34" s="385"/>
      <c r="AM34" s="385"/>
      <c r="AN34" s="386"/>
      <c r="AO34" s="63"/>
      <c r="AP34" s="63"/>
    </row>
    <row r="35" spans="2:42" x14ac:dyDescent="0.3">
      <c r="B35" s="1"/>
      <c r="C35" s="364"/>
      <c r="D35" s="368"/>
      <c r="E35" s="369"/>
      <c r="F35" s="375"/>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7"/>
      <c r="AF35" s="384"/>
      <c r="AG35" s="385"/>
      <c r="AH35" s="385"/>
      <c r="AI35" s="385"/>
      <c r="AJ35" s="385"/>
      <c r="AK35" s="385"/>
      <c r="AL35" s="385"/>
      <c r="AM35" s="385"/>
      <c r="AN35" s="386"/>
      <c r="AO35" s="63"/>
      <c r="AP35" s="63"/>
    </row>
    <row r="36" spans="2:42" x14ac:dyDescent="0.3">
      <c r="B36" s="1"/>
      <c r="C36" s="364"/>
      <c r="D36" s="368"/>
      <c r="E36" s="369"/>
      <c r="F36" s="375"/>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7"/>
      <c r="AF36" s="384"/>
      <c r="AG36" s="385"/>
      <c r="AH36" s="385"/>
      <c r="AI36" s="385"/>
      <c r="AJ36" s="385"/>
      <c r="AK36" s="385"/>
      <c r="AL36" s="385"/>
      <c r="AM36" s="385"/>
      <c r="AN36" s="386"/>
      <c r="AO36" s="63"/>
      <c r="AP36" s="63"/>
    </row>
    <row r="37" spans="2:42" x14ac:dyDescent="0.3">
      <c r="B37" s="1"/>
      <c r="C37" s="365"/>
      <c r="D37" s="370"/>
      <c r="E37" s="371"/>
      <c r="F37" s="378"/>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80"/>
      <c r="AF37" s="387"/>
      <c r="AG37" s="388"/>
      <c r="AH37" s="388"/>
      <c r="AI37" s="388"/>
      <c r="AJ37" s="388"/>
      <c r="AK37" s="388"/>
      <c r="AL37" s="388"/>
      <c r="AM37" s="388"/>
      <c r="AN37" s="389"/>
      <c r="AO37" s="63"/>
      <c r="AP37" s="63"/>
    </row>
    <row r="38" spans="2:42" x14ac:dyDescent="0.3">
      <c r="B38" s="1"/>
      <c r="C38" s="390"/>
      <c r="D38" s="390" t="s">
        <v>10</v>
      </c>
      <c r="E38" s="390"/>
      <c r="F38" s="372" t="s">
        <v>49</v>
      </c>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3"/>
      <c r="AE38" s="394"/>
      <c r="AF38" s="399" t="s">
        <v>47</v>
      </c>
      <c r="AG38" s="400"/>
      <c r="AH38" s="400"/>
      <c r="AI38" s="400"/>
      <c r="AJ38" s="400"/>
      <c r="AK38" s="400"/>
      <c r="AL38" s="400"/>
      <c r="AM38" s="400"/>
      <c r="AN38" s="401"/>
      <c r="AO38" s="4"/>
      <c r="AP38" s="4"/>
    </row>
    <row r="39" spans="2:42" x14ac:dyDescent="0.3">
      <c r="B39" s="1"/>
      <c r="C39" s="391"/>
      <c r="D39" s="391"/>
      <c r="E39" s="391"/>
      <c r="F39" s="395"/>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7"/>
      <c r="AE39" s="398"/>
      <c r="AF39" s="402"/>
      <c r="AG39" s="402"/>
      <c r="AH39" s="402"/>
      <c r="AI39" s="402"/>
      <c r="AJ39" s="402"/>
      <c r="AK39" s="402"/>
      <c r="AL39" s="402"/>
      <c r="AM39" s="402"/>
      <c r="AN39" s="403"/>
      <c r="AO39" s="4"/>
      <c r="AP39" s="4"/>
    </row>
    <row r="40" spans="2:42" x14ac:dyDescent="0.3">
      <c r="B40" s="1"/>
      <c r="C40" s="390">
        <v>2</v>
      </c>
      <c r="D40" s="390"/>
      <c r="E40" s="390"/>
      <c r="F40" s="372" t="s">
        <v>77</v>
      </c>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3"/>
      <c r="AE40" s="394"/>
      <c r="AF40" s="399" t="s">
        <v>50</v>
      </c>
      <c r="AG40" s="400"/>
      <c r="AH40" s="400"/>
      <c r="AI40" s="400"/>
      <c r="AJ40" s="400"/>
      <c r="AK40" s="400"/>
      <c r="AL40" s="400"/>
      <c r="AM40" s="400"/>
      <c r="AN40" s="401"/>
      <c r="AO40" s="4"/>
      <c r="AP40" s="4"/>
    </row>
    <row r="41" spans="2:42" x14ac:dyDescent="0.3">
      <c r="B41" s="1"/>
      <c r="C41" s="391"/>
      <c r="D41" s="391"/>
      <c r="E41" s="391"/>
      <c r="F41" s="395"/>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7"/>
      <c r="AE41" s="398"/>
      <c r="AF41" s="402"/>
      <c r="AG41" s="402"/>
      <c r="AH41" s="402"/>
      <c r="AI41" s="402"/>
      <c r="AJ41" s="402"/>
      <c r="AK41" s="402"/>
      <c r="AL41" s="402"/>
      <c r="AM41" s="402"/>
      <c r="AN41" s="403"/>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17" t="s">
        <v>52</v>
      </c>
      <c r="Q43" s="347"/>
      <c r="R43" s="347"/>
      <c r="S43" s="347"/>
      <c r="T43" s="347"/>
      <c r="U43" s="347"/>
      <c r="V43" s="347"/>
      <c r="W43" s="347"/>
      <c r="X43" s="347"/>
      <c r="Y43" s="347"/>
      <c r="Z43" s="347"/>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343" t="str">
        <f>IF(ISBLANK(U11)," ", PROPER(U11))</f>
        <v xml:space="preserve"> </v>
      </c>
      <c r="E45" s="343"/>
      <c r="F45" s="343"/>
      <c r="G45" s="343"/>
      <c r="H45" s="343"/>
      <c r="I45" s="343"/>
      <c r="J45" s="343"/>
      <c r="K45" s="343"/>
      <c r="L45" s="343"/>
      <c r="M45" s="343"/>
      <c r="N45" s="343"/>
      <c r="O45" s="343"/>
      <c r="P45" s="343"/>
      <c r="Q45" s="343"/>
      <c r="R45" s="343"/>
      <c r="S45" s="343"/>
      <c r="T45" s="343"/>
      <c r="U45" s="343"/>
      <c r="V45" s="361" t="s">
        <v>54</v>
      </c>
      <c r="W45" s="361"/>
      <c r="X45" s="361"/>
      <c r="Y45" s="361"/>
      <c r="Z45" s="361"/>
      <c r="AA45" s="361"/>
      <c r="AB45" s="361"/>
      <c r="AC45" s="361"/>
      <c r="AD45" s="361"/>
      <c r="AE45" s="361"/>
      <c r="AF45" s="361"/>
      <c r="AG45" s="361"/>
      <c r="AH45" s="361"/>
      <c r="AI45" s="361"/>
      <c r="AJ45" s="361"/>
      <c r="AK45" s="361"/>
      <c r="AL45" s="361"/>
      <c r="AM45" s="361"/>
      <c r="AN45" s="361"/>
      <c r="AO45" s="8"/>
      <c r="AP45" s="8"/>
    </row>
    <row r="46" spans="2:42" x14ac:dyDescent="0.3">
      <c r="B46" s="1"/>
      <c r="C46" s="361" t="s">
        <v>55</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361" t="s">
        <v>11</v>
      </c>
      <c r="D49" s="361"/>
      <c r="E49" s="361"/>
      <c r="F49" s="361"/>
      <c r="G49" s="1" t="s">
        <v>5</v>
      </c>
      <c r="H49" s="343" t="str">
        <f>IF(ISBLANK('Basic Information'!H29)," ",PROPER('Basic Information'!H29))</f>
        <v xml:space="preserve"> </v>
      </c>
      <c r="I49" s="343"/>
      <c r="J49" s="343"/>
      <c r="K49" s="343"/>
      <c r="L49" s="343"/>
      <c r="M49" s="343"/>
      <c r="N49" s="343"/>
      <c r="O49" s="343"/>
      <c r="P49" s="343"/>
      <c r="Q49" s="418"/>
      <c r="R49" s="418"/>
      <c r="S49" s="418"/>
      <c r="T49" s="418"/>
      <c r="U49" s="418"/>
      <c r="V49" s="1"/>
      <c r="W49" s="1"/>
      <c r="X49" s="1"/>
      <c r="Y49" s="1"/>
      <c r="Z49" s="1"/>
      <c r="AA49" s="1"/>
      <c r="AB49" s="1"/>
      <c r="AC49" s="347"/>
      <c r="AD49" s="347"/>
      <c r="AE49" s="347"/>
      <c r="AF49" s="347"/>
      <c r="AG49" s="347"/>
      <c r="AH49" s="347"/>
      <c r="AI49" s="347"/>
      <c r="AJ49" s="347"/>
      <c r="AK49" s="347"/>
      <c r="AL49" s="347"/>
      <c r="AM49" s="347"/>
      <c r="AN49" s="347"/>
      <c r="AO49" s="60"/>
      <c r="AP49" s="60"/>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15"/>
      <c r="AD50" s="415"/>
      <c r="AE50" s="415"/>
      <c r="AF50" s="415"/>
      <c r="AG50" s="415"/>
      <c r="AH50" s="415"/>
      <c r="AI50" s="415"/>
      <c r="AJ50" s="415"/>
      <c r="AK50" s="415"/>
      <c r="AL50" s="415"/>
      <c r="AM50" s="415"/>
      <c r="AN50" s="415"/>
      <c r="AO50" s="60"/>
      <c r="AP50" s="60"/>
    </row>
    <row r="51" spans="2:49" x14ac:dyDescent="0.3">
      <c r="B51" s="1"/>
      <c r="C51" s="361" t="s">
        <v>12</v>
      </c>
      <c r="D51" s="361"/>
      <c r="E51" s="361"/>
      <c r="F51" s="361"/>
      <c r="G51" s="1" t="s">
        <v>5</v>
      </c>
      <c r="H51" s="416" t="str">
        <f>IF(ISBLANK('Basic Information'!H31)," ",'Basic Information'!H31)</f>
        <v xml:space="preserve"> </v>
      </c>
      <c r="I51" s="416"/>
      <c r="J51" s="416"/>
      <c r="K51" s="416"/>
      <c r="L51" s="416"/>
      <c r="M51" s="416"/>
      <c r="N51" s="416"/>
      <c r="O51" s="416"/>
      <c r="P51" s="416"/>
      <c r="Q51" s="1"/>
      <c r="R51" s="1"/>
      <c r="S51" s="1"/>
      <c r="T51" s="1"/>
      <c r="U51" s="1"/>
      <c r="V51" s="1"/>
      <c r="W51" s="1"/>
      <c r="X51" s="1"/>
      <c r="Y51" s="1"/>
      <c r="Z51" s="1"/>
      <c r="AA51" s="1"/>
      <c r="AB51" s="1"/>
      <c r="AC51" s="344" t="s">
        <v>51</v>
      </c>
      <c r="AD51" s="344"/>
      <c r="AE51" s="344"/>
      <c r="AF51" s="344"/>
      <c r="AG51" s="344"/>
      <c r="AH51" s="344"/>
      <c r="AI51" s="344"/>
      <c r="AJ51" s="344"/>
      <c r="AK51" s="344"/>
      <c r="AL51" s="344"/>
      <c r="AM51" s="344"/>
      <c r="AN51" s="344"/>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44" t="s">
        <v>56</v>
      </c>
      <c r="S57" s="445"/>
      <c r="T57" s="445"/>
      <c r="U57" s="445"/>
      <c r="V57" s="445"/>
      <c r="W57" s="445"/>
      <c r="X57" s="445"/>
      <c r="Y57" s="64"/>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47" t="s">
        <v>57</v>
      </c>
      <c r="P58" s="347"/>
      <c r="Q58" s="347"/>
      <c r="R58" s="347"/>
      <c r="S58" s="347"/>
      <c r="T58" s="347"/>
      <c r="U58" s="347"/>
      <c r="V58" s="347"/>
      <c r="W58" s="347"/>
      <c r="X58" s="347"/>
      <c r="Y58" s="347"/>
      <c r="Z58" s="347"/>
      <c r="AA58" s="347"/>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5" t="s">
        <v>58</v>
      </c>
      <c r="N60" s="108"/>
      <c r="O60" s="108"/>
      <c r="P60" s="108"/>
      <c r="Q60" s="108"/>
      <c r="R60" s="108"/>
      <c r="S60" s="108"/>
      <c r="T60" s="108"/>
      <c r="U60" s="108"/>
      <c r="V60" s="108"/>
      <c r="W60" s="108"/>
      <c r="X60" s="108"/>
      <c r="Y60" s="108"/>
      <c r="Z60" s="108"/>
      <c r="AA60" s="108"/>
      <c r="AB60" s="108"/>
      <c r="AC60" s="108"/>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90">
        <v>1</v>
      </c>
      <c r="D62" s="419" t="s">
        <v>59</v>
      </c>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134"/>
      <c r="AD62" s="134"/>
      <c r="AE62" s="256"/>
      <c r="AF62" s="424">
        <f>IF(AND(AF27&lt;&gt;0,AF27&lt;=AP27,'Income Tax Proforma - New Schem'!AV62&lt;&gt;0,('Income Tax Proforma - New Schem'!AV62) &gt;=AF64),(('Income Tax Proforma - New Schem'!AV62) -AF64),0)</f>
        <v>0</v>
      </c>
      <c r="AG62" s="425"/>
      <c r="AH62" s="425"/>
      <c r="AI62" s="425"/>
      <c r="AJ62" s="425"/>
      <c r="AK62" s="425"/>
      <c r="AL62" s="425"/>
      <c r="AM62" s="425"/>
      <c r="AN62" s="426"/>
      <c r="AO62" s="1"/>
      <c r="AP62" s="1"/>
      <c r="AQ62" s="132" t="str">
        <f>IF(AND(AF27&lt;&gt;0,'Income Tax Proforma - New Schem'!AV62=0),"Since your income is not taxable for this tax year, Form 10E is not required.","")</f>
        <v/>
      </c>
      <c r="AR62" s="132"/>
      <c r="AS62" s="132"/>
      <c r="AT62" s="132"/>
      <c r="AU62" s="132"/>
      <c r="AV62" s="132"/>
      <c r="AW62" s="132"/>
    </row>
    <row r="63" spans="2:49" ht="12" customHeight="1" x14ac:dyDescent="0.3">
      <c r="B63" s="1"/>
      <c r="C63" s="391"/>
      <c r="D63" s="421"/>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427"/>
      <c r="AG63" s="428"/>
      <c r="AH63" s="428"/>
      <c r="AI63" s="428"/>
      <c r="AJ63" s="428"/>
      <c r="AK63" s="428"/>
      <c r="AL63" s="428"/>
      <c r="AM63" s="428"/>
      <c r="AN63" s="429"/>
      <c r="AO63" s="1"/>
      <c r="AP63" s="1"/>
      <c r="AQ63" s="132"/>
      <c r="AR63" s="132"/>
      <c r="AS63" s="132"/>
      <c r="AT63" s="132"/>
      <c r="AU63" s="132"/>
      <c r="AV63" s="132"/>
      <c r="AW63" s="132"/>
    </row>
    <row r="64" spans="2:49" ht="10.5" customHeight="1" x14ac:dyDescent="0.3">
      <c r="B64" s="1"/>
      <c r="C64" s="390">
        <v>2</v>
      </c>
      <c r="D64" s="419" t="s">
        <v>60</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134"/>
      <c r="AD64" s="134"/>
      <c r="AE64" s="256"/>
      <c r="AF64" s="424">
        <f>IF(AND(AF27&lt;=AP27,'Income Tax Proforma - New Schem'!AV62&lt;&gt;0),AF27,0)</f>
        <v>0</v>
      </c>
      <c r="AG64" s="425"/>
      <c r="AH64" s="425"/>
      <c r="AI64" s="425"/>
      <c r="AJ64" s="425"/>
      <c r="AK64" s="425"/>
      <c r="AL64" s="425"/>
      <c r="AM64" s="425"/>
      <c r="AN64" s="426"/>
      <c r="AO64" s="1"/>
      <c r="AP64" s="1"/>
    </row>
    <row r="65" spans="2:49" ht="12.75" customHeight="1" x14ac:dyDescent="0.3">
      <c r="B65" s="1"/>
      <c r="C65" s="391"/>
      <c r="D65" s="421"/>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3"/>
      <c r="AF65" s="427"/>
      <c r="AG65" s="428"/>
      <c r="AH65" s="428"/>
      <c r="AI65" s="428"/>
      <c r="AJ65" s="428"/>
      <c r="AK65" s="428"/>
      <c r="AL65" s="428"/>
      <c r="AM65" s="428"/>
      <c r="AN65" s="429"/>
      <c r="AO65" s="1"/>
      <c r="AP65" s="1"/>
    </row>
    <row r="66" spans="2:49" ht="15.75" customHeight="1" x14ac:dyDescent="0.3">
      <c r="B66" s="1"/>
      <c r="C66" s="390">
        <v>3</v>
      </c>
      <c r="D66" s="432" t="s">
        <v>61</v>
      </c>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4"/>
      <c r="AD66" s="434"/>
      <c r="AE66" s="435"/>
      <c r="AF66" s="424">
        <f>SUM(AF62,AF64)</f>
        <v>0</v>
      </c>
      <c r="AG66" s="425"/>
      <c r="AH66" s="425"/>
      <c r="AI66" s="425"/>
      <c r="AJ66" s="425"/>
      <c r="AK66" s="425"/>
      <c r="AL66" s="425"/>
      <c r="AM66" s="425"/>
      <c r="AN66" s="426"/>
      <c r="AO66" s="1"/>
      <c r="AP66" s="1"/>
    </row>
    <row r="67" spans="2:49" x14ac:dyDescent="0.3">
      <c r="B67" s="1"/>
      <c r="C67" s="430"/>
      <c r="D67" s="436"/>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437"/>
      <c r="AF67" s="441"/>
      <c r="AG67" s="442"/>
      <c r="AH67" s="442"/>
      <c r="AI67" s="442"/>
      <c r="AJ67" s="442"/>
      <c r="AK67" s="442"/>
      <c r="AL67" s="442"/>
      <c r="AM67" s="442"/>
      <c r="AN67" s="443"/>
      <c r="AO67" s="1"/>
      <c r="AP67" s="1"/>
    </row>
    <row r="68" spans="2:49" ht="12" customHeight="1" x14ac:dyDescent="0.3">
      <c r="B68" s="1"/>
      <c r="C68" s="431"/>
      <c r="D68" s="438"/>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40"/>
      <c r="AF68" s="427"/>
      <c r="AG68" s="428"/>
      <c r="AH68" s="428"/>
      <c r="AI68" s="428"/>
      <c r="AJ68" s="428"/>
      <c r="AK68" s="428"/>
      <c r="AL68" s="428"/>
      <c r="AM68" s="428"/>
      <c r="AN68" s="429"/>
      <c r="AO68" s="1"/>
      <c r="AP68" s="1"/>
    </row>
    <row r="69" spans="2:49" ht="11.25" customHeight="1" x14ac:dyDescent="0.3">
      <c r="B69" s="1"/>
      <c r="C69" s="390">
        <v>4</v>
      </c>
      <c r="D69" s="419" t="s">
        <v>62</v>
      </c>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134"/>
      <c r="AD69" s="134"/>
      <c r="AE69" s="256"/>
      <c r="AF69" s="424">
        <f>SUM(AQ70,AR70)</f>
        <v>0</v>
      </c>
      <c r="AG69" s="425"/>
      <c r="AH69" s="425"/>
      <c r="AI69" s="425"/>
      <c r="AJ69" s="425"/>
      <c r="AK69" s="425"/>
      <c r="AL69" s="425"/>
      <c r="AM69" s="425"/>
      <c r="AN69" s="426"/>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AQ69,20000),IF((AF66-700000)&lt;=AQ69,AQ69-(AF66-700000),0)),IF(OR(AA25="2025-2026"),IF(AND(MROUND(AF66,10)&lt;=1200000,MROUND(AF66,10)&lt;&gt;0),IF(AQ69&lt;=60000, AQ69,60000),IF((AF66-1200000)&lt;=AQ69,AQ69-(AF66-1200000),0)),0))))))),0)</f>
        <v>0</v>
      </c>
      <c r="AU69" s="7"/>
    </row>
    <row r="70" spans="2:49" ht="12.75" customHeight="1" x14ac:dyDescent="0.3">
      <c r="B70" s="1"/>
      <c r="C70" s="391"/>
      <c r="D70" s="421"/>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3"/>
      <c r="AF70" s="427"/>
      <c r="AG70" s="428"/>
      <c r="AH70" s="428"/>
      <c r="AI70" s="428"/>
      <c r="AJ70" s="428"/>
      <c r="AK70" s="428"/>
      <c r="AL70" s="428"/>
      <c r="AM70" s="428"/>
      <c r="AN70" s="429"/>
      <c r="AO70" s="1"/>
      <c r="AP70" s="1"/>
      <c r="AQ70" s="6">
        <f>IF((AQ69&lt;AR69),0,ROUND(ABS(AQ69-AR69),0))</f>
        <v>0</v>
      </c>
      <c r="AR70" s="6">
        <f>IF(OR(AA25="2006-2007",AA25="2007-2008"),ROUND(AQ70*0.02,0),IF(OR(AA25="2019-2020",AA25="2020-2021",AA25="2021-2022",AA25="2022-2023",AA25="2023-2024",AA25="2024-2025",AA25="2025-2026"),ROUND(AQ70*0.04,0),ROUND(AQ70*0.03,0)))</f>
        <v>0</v>
      </c>
    </row>
    <row r="71" spans="2:49" ht="10.5" customHeight="1" x14ac:dyDescent="0.3">
      <c r="B71" s="1"/>
      <c r="C71" s="390">
        <v>5</v>
      </c>
      <c r="D71" s="419" t="s">
        <v>63</v>
      </c>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134"/>
      <c r="AD71" s="134"/>
      <c r="AE71" s="256"/>
      <c r="AF71" s="424">
        <f>SUM(AQ72,AR72)</f>
        <v>0</v>
      </c>
      <c r="AG71" s="425"/>
      <c r="AH71" s="425"/>
      <c r="AI71" s="425"/>
      <c r="AJ71" s="425"/>
      <c r="AK71" s="425"/>
      <c r="AL71" s="425"/>
      <c r="AM71" s="425"/>
      <c r="AN71" s="426"/>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AQ71,25000),IF((AF62-700000)&lt;=AQ71,AQ71-(AF62-700000),0)),IF(OR(AA25="2025-2026_old"),IF(AND(MROUND(AF62,10)&lt;=700000,MROUND(AF62,10)&lt;&gt;0),IF(AQ71&lt;=20000, AQ71,20000),IF((AF62-700000)&lt;=AQ71,AQ71-(AF62-700000),0)),IF(OR(AA25="2025-2026"),IF(AND(MROUND(AF62,10)&lt;=1200000,MROUND(AF62,10)&lt;&gt;0),IF(AQ71&lt;=60000, AQ71,60000),IF((AF62-1200000)&lt;=AQ71,AQ71-(AF62-1200000),0)),0))))))),0)</f>
        <v>0</v>
      </c>
    </row>
    <row r="72" spans="2:49" ht="12.75" customHeight="1" x14ac:dyDescent="0.3">
      <c r="B72" s="1"/>
      <c r="C72" s="391"/>
      <c r="D72" s="421"/>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427"/>
      <c r="AG72" s="428"/>
      <c r="AH72" s="428"/>
      <c r="AI72" s="428"/>
      <c r="AJ72" s="428"/>
      <c r="AK72" s="428"/>
      <c r="AL72" s="428"/>
      <c r="AM72" s="428"/>
      <c r="AN72" s="429"/>
      <c r="AO72" s="1"/>
      <c r="AP72" s="1"/>
      <c r="AQ72" s="6">
        <f>IF((AQ71&lt;AR71),0,ROUND(ABS(AQ71-AR71),0))</f>
        <v>0</v>
      </c>
      <c r="AR72" s="6">
        <f>IF(OR(AA25="2006-2007",AA25="2007-2008"),ROUND(AQ72*0.02,0),IF(OR(AA25="2019-2020",AA25="2020-2021",AA25="2021-2022",AA25="2022-2023",AA25="2023-2024",AA25="2024-2025",AA25="2025-2026"),ROUND(AQ72*0.04,0),ROUND(AQ72*0.03,0)))</f>
        <v>0</v>
      </c>
    </row>
    <row r="73" spans="2:49" ht="10.5" customHeight="1" x14ac:dyDescent="0.3">
      <c r="B73" s="1"/>
      <c r="C73" s="390">
        <v>6</v>
      </c>
      <c r="D73" s="432" t="s">
        <v>64</v>
      </c>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4"/>
      <c r="AD73" s="434"/>
      <c r="AE73" s="435"/>
      <c r="AF73" s="424">
        <f>ABS(AF69-AF71)</f>
        <v>0</v>
      </c>
      <c r="AG73" s="425"/>
      <c r="AH73" s="425"/>
      <c r="AI73" s="425"/>
      <c r="AJ73" s="425"/>
      <c r="AK73" s="425"/>
      <c r="AL73" s="425"/>
      <c r="AM73" s="425"/>
      <c r="AN73" s="426"/>
      <c r="AO73" s="1"/>
      <c r="AP73" s="1"/>
    </row>
    <row r="74" spans="2:49" x14ac:dyDescent="0.3">
      <c r="B74" s="1"/>
      <c r="C74" s="430"/>
      <c r="D74" s="436"/>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437"/>
      <c r="AF74" s="441"/>
      <c r="AG74" s="442"/>
      <c r="AH74" s="442"/>
      <c r="AI74" s="442"/>
      <c r="AJ74" s="442"/>
      <c r="AK74" s="442"/>
      <c r="AL74" s="442"/>
      <c r="AM74" s="442"/>
      <c r="AN74" s="443"/>
      <c r="AO74" s="1"/>
      <c r="AP74" s="1"/>
    </row>
    <row r="75" spans="2:49" ht="11.25" customHeight="1" x14ac:dyDescent="0.3">
      <c r="B75" s="1"/>
      <c r="C75" s="431"/>
      <c r="D75" s="438"/>
      <c r="E75" s="439"/>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40"/>
      <c r="AF75" s="427"/>
      <c r="AG75" s="428"/>
      <c r="AH75" s="428"/>
      <c r="AI75" s="428"/>
      <c r="AJ75" s="428"/>
      <c r="AK75" s="428"/>
      <c r="AL75" s="428"/>
      <c r="AM75" s="428"/>
      <c r="AN75" s="429"/>
      <c r="AO75" s="1"/>
      <c r="AP75" s="1"/>
    </row>
    <row r="76" spans="2:49" ht="9" customHeight="1" x14ac:dyDescent="0.3">
      <c r="B76" s="1"/>
      <c r="C76" s="390">
        <v>7</v>
      </c>
      <c r="D76" s="432" t="s">
        <v>65</v>
      </c>
      <c r="E76" s="433"/>
      <c r="F76" s="433"/>
      <c r="G76" s="433"/>
      <c r="H76" s="433"/>
      <c r="I76" s="433"/>
      <c r="J76" s="433"/>
      <c r="K76" s="433"/>
      <c r="L76" s="433"/>
      <c r="M76" s="433"/>
      <c r="N76" s="433"/>
      <c r="O76" s="433"/>
      <c r="P76" s="433"/>
      <c r="Q76" s="433"/>
      <c r="R76" s="433"/>
      <c r="S76" s="433"/>
      <c r="T76" s="433"/>
      <c r="U76" s="433"/>
      <c r="V76" s="433"/>
      <c r="W76" s="433"/>
      <c r="X76" s="433"/>
      <c r="Y76" s="433"/>
      <c r="Z76" s="433"/>
      <c r="AA76" s="433"/>
      <c r="AB76" s="433"/>
      <c r="AC76" s="434"/>
      <c r="AD76" s="434"/>
      <c r="AE76" s="435"/>
      <c r="AF76" s="424">
        <f>AK102</f>
        <v>0</v>
      </c>
      <c r="AG76" s="425"/>
      <c r="AH76" s="425"/>
      <c r="AI76" s="425"/>
      <c r="AJ76" s="425"/>
      <c r="AK76" s="425"/>
      <c r="AL76" s="425"/>
      <c r="AM76" s="425"/>
      <c r="AN76" s="426"/>
      <c r="AO76" s="1"/>
      <c r="AP76" s="1"/>
    </row>
    <row r="77" spans="2:49" x14ac:dyDescent="0.3">
      <c r="B77" s="1"/>
      <c r="C77" s="430"/>
      <c r="D77" s="436"/>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437"/>
      <c r="AF77" s="441"/>
      <c r="AG77" s="442"/>
      <c r="AH77" s="442"/>
      <c r="AI77" s="442"/>
      <c r="AJ77" s="442"/>
      <c r="AK77" s="442"/>
      <c r="AL77" s="442"/>
      <c r="AM77" s="442"/>
      <c r="AN77" s="443"/>
      <c r="AO77" s="1"/>
      <c r="AP77" s="1"/>
    </row>
    <row r="78" spans="2:49" ht="12" customHeight="1" x14ac:dyDescent="0.3">
      <c r="B78" s="1"/>
      <c r="C78" s="431"/>
      <c r="D78" s="438"/>
      <c r="E78" s="439"/>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40"/>
      <c r="AF78" s="427"/>
      <c r="AG78" s="428"/>
      <c r="AH78" s="428"/>
      <c r="AI78" s="428"/>
      <c r="AJ78" s="428"/>
      <c r="AK78" s="428"/>
      <c r="AL78" s="428"/>
      <c r="AM78" s="428"/>
      <c r="AN78" s="429"/>
      <c r="AO78" s="1"/>
      <c r="AP78" s="1"/>
    </row>
    <row r="79" spans="2:49" x14ac:dyDescent="0.3">
      <c r="B79" s="1"/>
      <c r="C79" s="390">
        <v>8</v>
      </c>
      <c r="D79" s="432" t="s">
        <v>227</v>
      </c>
      <c r="E79" s="433"/>
      <c r="F79" s="433"/>
      <c r="G79" s="433"/>
      <c r="H79" s="433"/>
      <c r="I79" s="433"/>
      <c r="J79" s="433"/>
      <c r="K79" s="433"/>
      <c r="L79" s="433"/>
      <c r="M79" s="433"/>
      <c r="N79" s="433"/>
      <c r="O79" s="433"/>
      <c r="P79" s="433"/>
      <c r="Q79" s="433"/>
      <c r="R79" s="433"/>
      <c r="S79" s="433"/>
      <c r="T79" s="433"/>
      <c r="U79" s="433"/>
      <c r="V79" s="433"/>
      <c r="W79" s="433"/>
      <c r="X79" s="433"/>
      <c r="Y79" s="433"/>
      <c r="Z79" s="433"/>
      <c r="AA79" s="433"/>
      <c r="AB79" s="433"/>
      <c r="AC79" s="434"/>
      <c r="AD79" s="434"/>
      <c r="AE79" s="435"/>
      <c r="AF79" s="424">
        <f>IF(AND(AF27=M102,AF73&gt;AF76),ABS(AF73-AF76),0)</f>
        <v>0</v>
      </c>
      <c r="AG79" s="425"/>
      <c r="AH79" s="425"/>
      <c r="AI79" s="425"/>
      <c r="AJ79" s="425"/>
      <c r="AK79" s="425"/>
      <c r="AL79" s="425"/>
      <c r="AM79" s="425"/>
      <c r="AN79" s="426"/>
      <c r="AO79" s="1"/>
      <c r="AP79" s="1"/>
      <c r="AQ79" s="33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36"/>
      <c r="AS79" s="336"/>
      <c r="AT79" s="336"/>
      <c r="AU79" s="336"/>
      <c r="AV79" s="336"/>
      <c r="AW79" s="174"/>
    </row>
    <row r="80" spans="2:49" x14ac:dyDescent="0.3">
      <c r="B80" s="1"/>
      <c r="C80" s="430"/>
      <c r="D80" s="436"/>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437"/>
      <c r="AF80" s="441"/>
      <c r="AG80" s="442"/>
      <c r="AH80" s="442"/>
      <c r="AI80" s="442"/>
      <c r="AJ80" s="442"/>
      <c r="AK80" s="442"/>
      <c r="AL80" s="442"/>
      <c r="AM80" s="442"/>
      <c r="AN80" s="443"/>
      <c r="AO80" s="37"/>
      <c r="AP80" s="38"/>
      <c r="AQ80" s="336"/>
      <c r="AR80" s="336"/>
      <c r="AS80" s="336"/>
      <c r="AT80" s="336"/>
      <c r="AU80" s="336"/>
      <c r="AV80" s="336"/>
      <c r="AW80" s="174"/>
    </row>
    <row r="81" spans="2:53" x14ac:dyDescent="0.3">
      <c r="B81" s="1"/>
      <c r="C81" s="431"/>
      <c r="D81" s="438"/>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40"/>
      <c r="AF81" s="427"/>
      <c r="AG81" s="428"/>
      <c r="AH81" s="428"/>
      <c r="AI81" s="428"/>
      <c r="AJ81" s="428"/>
      <c r="AK81" s="428"/>
      <c r="AL81" s="428"/>
      <c r="AM81" s="428"/>
      <c r="AN81" s="429"/>
      <c r="AO81" s="39"/>
      <c r="AP81" s="38"/>
      <c r="AQ81" s="336"/>
      <c r="AR81" s="336"/>
      <c r="AS81" s="336"/>
      <c r="AT81" s="336"/>
      <c r="AU81" s="336"/>
      <c r="AV81" s="336"/>
      <c r="AW81" s="174"/>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5" t="s">
        <v>66</v>
      </c>
      <c r="R83" s="385"/>
      <c r="S83" s="385"/>
      <c r="T83" s="385"/>
      <c r="U83" s="385"/>
      <c r="V83" s="385"/>
      <c r="W83" s="385"/>
      <c r="X83" s="385"/>
      <c r="Y83" s="1"/>
      <c r="Z83" s="73" t="s">
        <v>124</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47" t="s">
        <v>67</v>
      </c>
      <c r="P84" s="347"/>
      <c r="Q84" s="347"/>
      <c r="R84" s="347"/>
      <c r="S84" s="347"/>
      <c r="T84" s="347"/>
      <c r="U84" s="347"/>
      <c r="V84" s="347"/>
      <c r="W84" s="347"/>
      <c r="X84" s="347"/>
      <c r="Y84" s="347"/>
      <c r="Z84" s="347"/>
      <c r="AA84" s="347"/>
      <c r="AB84" s="1"/>
      <c r="AC84" s="1"/>
      <c r="AD84" s="1"/>
      <c r="AE84" s="1"/>
      <c r="AF84" s="1"/>
      <c r="AG84" s="1"/>
      <c r="AH84" s="1"/>
      <c r="AI84" s="1"/>
      <c r="AJ84" s="1"/>
      <c r="AK84" s="1"/>
      <c r="AL84" s="1"/>
      <c r="AM84" s="1"/>
      <c r="AN84" s="1"/>
      <c r="AO84" s="1"/>
      <c r="AP84" s="1"/>
    </row>
    <row r="85" spans="2:53" ht="15" customHeight="1" x14ac:dyDescent="0.3">
      <c r="B85" s="469" t="s">
        <v>212</v>
      </c>
      <c r="C85" s="470"/>
      <c r="D85" s="470"/>
      <c r="E85" s="470"/>
      <c r="F85" s="471"/>
      <c r="G85" s="469" t="s">
        <v>68</v>
      </c>
      <c r="H85" s="478"/>
      <c r="I85" s="478"/>
      <c r="J85" s="478"/>
      <c r="K85" s="478"/>
      <c r="L85" s="479"/>
      <c r="M85" s="486" t="s">
        <v>78</v>
      </c>
      <c r="N85" s="487"/>
      <c r="O85" s="487"/>
      <c r="P85" s="487"/>
      <c r="Q85" s="487"/>
      <c r="R85" s="488"/>
      <c r="S85" s="469" t="s">
        <v>79</v>
      </c>
      <c r="T85" s="478"/>
      <c r="U85" s="478"/>
      <c r="V85" s="478"/>
      <c r="W85" s="478"/>
      <c r="X85" s="479"/>
      <c r="Y85" s="469" t="s">
        <v>69</v>
      </c>
      <c r="Z85" s="478"/>
      <c r="AA85" s="478"/>
      <c r="AB85" s="478"/>
      <c r="AC85" s="478"/>
      <c r="AD85" s="479"/>
      <c r="AE85" s="495" t="s">
        <v>70</v>
      </c>
      <c r="AF85" s="478"/>
      <c r="AG85" s="478"/>
      <c r="AH85" s="478"/>
      <c r="AI85" s="478"/>
      <c r="AJ85" s="479"/>
      <c r="AK85" s="496" t="s">
        <v>71</v>
      </c>
      <c r="AL85" s="478"/>
      <c r="AM85" s="478"/>
      <c r="AN85" s="478"/>
      <c r="AO85" s="478"/>
      <c r="AP85" s="479"/>
    </row>
    <row r="86" spans="2:53" x14ac:dyDescent="0.3">
      <c r="B86" s="472"/>
      <c r="C86" s="473"/>
      <c r="D86" s="473"/>
      <c r="E86" s="473"/>
      <c r="F86" s="474"/>
      <c r="G86" s="480"/>
      <c r="H86" s="481"/>
      <c r="I86" s="481"/>
      <c r="J86" s="481"/>
      <c r="K86" s="481"/>
      <c r="L86" s="482"/>
      <c r="M86" s="489"/>
      <c r="N86" s="490"/>
      <c r="O86" s="490"/>
      <c r="P86" s="490"/>
      <c r="Q86" s="490"/>
      <c r="R86" s="491"/>
      <c r="S86" s="480"/>
      <c r="T86" s="481"/>
      <c r="U86" s="481"/>
      <c r="V86" s="481"/>
      <c r="W86" s="481"/>
      <c r="X86" s="482"/>
      <c r="Y86" s="480"/>
      <c r="Z86" s="481"/>
      <c r="AA86" s="481"/>
      <c r="AB86" s="481"/>
      <c r="AC86" s="481"/>
      <c r="AD86" s="482"/>
      <c r="AE86" s="480"/>
      <c r="AF86" s="481"/>
      <c r="AG86" s="481"/>
      <c r="AH86" s="481"/>
      <c r="AI86" s="481"/>
      <c r="AJ86" s="482"/>
      <c r="AK86" s="480"/>
      <c r="AL86" s="481"/>
      <c r="AM86" s="481"/>
      <c r="AN86" s="481"/>
      <c r="AO86" s="481"/>
      <c r="AP86" s="482"/>
    </row>
    <row r="87" spans="2:53" x14ac:dyDescent="0.3">
      <c r="B87" s="472"/>
      <c r="C87" s="473"/>
      <c r="D87" s="473"/>
      <c r="E87" s="473"/>
      <c r="F87" s="474"/>
      <c r="G87" s="480"/>
      <c r="H87" s="481"/>
      <c r="I87" s="481"/>
      <c r="J87" s="481"/>
      <c r="K87" s="481"/>
      <c r="L87" s="482"/>
      <c r="M87" s="489"/>
      <c r="N87" s="490"/>
      <c r="O87" s="490"/>
      <c r="P87" s="490"/>
      <c r="Q87" s="490"/>
      <c r="R87" s="491"/>
      <c r="S87" s="480"/>
      <c r="T87" s="481"/>
      <c r="U87" s="481"/>
      <c r="V87" s="481"/>
      <c r="W87" s="481"/>
      <c r="X87" s="482"/>
      <c r="Y87" s="480"/>
      <c r="Z87" s="481"/>
      <c r="AA87" s="481"/>
      <c r="AB87" s="481"/>
      <c r="AC87" s="481"/>
      <c r="AD87" s="482"/>
      <c r="AE87" s="480"/>
      <c r="AF87" s="481"/>
      <c r="AG87" s="481"/>
      <c r="AH87" s="481"/>
      <c r="AI87" s="481"/>
      <c r="AJ87" s="482"/>
      <c r="AK87" s="480"/>
      <c r="AL87" s="481"/>
      <c r="AM87" s="481"/>
      <c r="AN87" s="481"/>
      <c r="AO87" s="481"/>
      <c r="AP87" s="482"/>
    </row>
    <row r="88" spans="2:53" x14ac:dyDescent="0.3">
      <c r="B88" s="472"/>
      <c r="C88" s="473"/>
      <c r="D88" s="473"/>
      <c r="E88" s="473"/>
      <c r="F88" s="474"/>
      <c r="G88" s="480"/>
      <c r="H88" s="481"/>
      <c r="I88" s="481"/>
      <c r="J88" s="481"/>
      <c r="K88" s="481"/>
      <c r="L88" s="482"/>
      <c r="M88" s="489"/>
      <c r="N88" s="490"/>
      <c r="O88" s="490"/>
      <c r="P88" s="490"/>
      <c r="Q88" s="490"/>
      <c r="R88" s="491"/>
      <c r="S88" s="480"/>
      <c r="T88" s="481"/>
      <c r="U88" s="481"/>
      <c r="V88" s="481"/>
      <c r="W88" s="481"/>
      <c r="X88" s="482"/>
      <c r="Y88" s="480"/>
      <c r="Z88" s="481"/>
      <c r="AA88" s="481"/>
      <c r="AB88" s="481"/>
      <c r="AC88" s="481"/>
      <c r="AD88" s="482"/>
      <c r="AE88" s="480"/>
      <c r="AF88" s="481"/>
      <c r="AG88" s="481"/>
      <c r="AH88" s="481"/>
      <c r="AI88" s="481"/>
      <c r="AJ88" s="482"/>
      <c r="AK88" s="480"/>
      <c r="AL88" s="481"/>
      <c r="AM88" s="481"/>
      <c r="AN88" s="481"/>
      <c r="AO88" s="481"/>
      <c r="AP88" s="482"/>
    </row>
    <row r="89" spans="2:53" x14ac:dyDescent="0.3">
      <c r="B89" s="472"/>
      <c r="C89" s="473"/>
      <c r="D89" s="473"/>
      <c r="E89" s="473"/>
      <c r="F89" s="474"/>
      <c r="G89" s="480"/>
      <c r="H89" s="481"/>
      <c r="I89" s="481"/>
      <c r="J89" s="481"/>
      <c r="K89" s="481"/>
      <c r="L89" s="482"/>
      <c r="M89" s="489"/>
      <c r="N89" s="490"/>
      <c r="O89" s="490"/>
      <c r="P89" s="490"/>
      <c r="Q89" s="490"/>
      <c r="R89" s="491"/>
      <c r="S89" s="480"/>
      <c r="T89" s="481"/>
      <c r="U89" s="481"/>
      <c r="V89" s="481"/>
      <c r="W89" s="481"/>
      <c r="X89" s="482"/>
      <c r="Y89" s="480"/>
      <c r="Z89" s="481"/>
      <c r="AA89" s="481"/>
      <c r="AB89" s="481"/>
      <c r="AC89" s="481"/>
      <c r="AD89" s="482"/>
      <c r="AE89" s="480"/>
      <c r="AF89" s="481"/>
      <c r="AG89" s="481"/>
      <c r="AH89" s="481"/>
      <c r="AI89" s="481"/>
      <c r="AJ89" s="482"/>
      <c r="AK89" s="480"/>
      <c r="AL89" s="481"/>
      <c r="AM89" s="481"/>
      <c r="AN89" s="481"/>
      <c r="AO89" s="481"/>
      <c r="AP89" s="482"/>
    </row>
    <row r="90" spans="2:53" ht="105" customHeight="1" x14ac:dyDescent="0.3">
      <c r="B90" s="475"/>
      <c r="C90" s="476"/>
      <c r="D90" s="476"/>
      <c r="E90" s="476"/>
      <c r="F90" s="477"/>
      <c r="G90" s="483"/>
      <c r="H90" s="484"/>
      <c r="I90" s="484"/>
      <c r="J90" s="484"/>
      <c r="K90" s="484"/>
      <c r="L90" s="485"/>
      <c r="M90" s="492"/>
      <c r="N90" s="493"/>
      <c r="O90" s="493"/>
      <c r="P90" s="493"/>
      <c r="Q90" s="493"/>
      <c r="R90" s="494"/>
      <c r="S90" s="483"/>
      <c r="T90" s="484"/>
      <c r="U90" s="484"/>
      <c r="V90" s="484"/>
      <c r="W90" s="484"/>
      <c r="X90" s="485"/>
      <c r="Y90" s="483"/>
      <c r="Z90" s="484"/>
      <c r="AA90" s="484"/>
      <c r="AB90" s="484"/>
      <c r="AC90" s="484"/>
      <c r="AD90" s="485"/>
      <c r="AE90" s="483"/>
      <c r="AF90" s="484"/>
      <c r="AG90" s="484"/>
      <c r="AH90" s="484"/>
      <c r="AI90" s="484"/>
      <c r="AJ90" s="485"/>
      <c r="AK90" s="483"/>
      <c r="AL90" s="484"/>
      <c r="AM90" s="484"/>
      <c r="AN90" s="484"/>
      <c r="AO90" s="484"/>
      <c r="AP90" s="485"/>
    </row>
    <row r="91" spans="2:53" x14ac:dyDescent="0.3">
      <c r="B91" s="465">
        <v>1</v>
      </c>
      <c r="C91" s="263"/>
      <c r="D91" s="263"/>
      <c r="E91" s="263"/>
      <c r="F91" s="278"/>
      <c r="G91" s="465">
        <v>2</v>
      </c>
      <c r="H91" s="263"/>
      <c r="I91" s="263"/>
      <c r="J91" s="263"/>
      <c r="K91" s="263"/>
      <c r="L91" s="278"/>
      <c r="M91" s="465">
        <v>3</v>
      </c>
      <c r="N91" s="263"/>
      <c r="O91" s="263"/>
      <c r="P91" s="263"/>
      <c r="Q91" s="263"/>
      <c r="R91" s="278"/>
      <c r="S91" s="465">
        <v>4</v>
      </c>
      <c r="T91" s="466"/>
      <c r="U91" s="466"/>
      <c r="V91" s="466"/>
      <c r="W91" s="466"/>
      <c r="X91" s="467"/>
      <c r="Y91" s="465">
        <v>5</v>
      </c>
      <c r="Z91" s="263"/>
      <c r="AA91" s="263"/>
      <c r="AB91" s="263"/>
      <c r="AC91" s="263"/>
      <c r="AD91" s="278"/>
      <c r="AE91" s="465">
        <v>6</v>
      </c>
      <c r="AF91" s="466"/>
      <c r="AG91" s="466"/>
      <c r="AH91" s="466"/>
      <c r="AI91" s="466"/>
      <c r="AJ91" s="278"/>
      <c r="AK91" s="468">
        <v>7</v>
      </c>
      <c r="AL91" s="263"/>
      <c r="AM91" s="263"/>
      <c r="AN91" s="263"/>
      <c r="AO91" s="263"/>
      <c r="AP91" s="278"/>
    </row>
    <row r="92" spans="2:53" x14ac:dyDescent="0.3">
      <c r="B92" s="545" t="str">
        <f>IF(ISBLANK('Form 10E - Old Scheme'!B92),"",'Form 10E - Old Scheme'!B92)</f>
        <v/>
      </c>
      <c r="C92" s="546"/>
      <c r="D92" s="546"/>
      <c r="E92" s="546"/>
      <c r="F92" s="547"/>
      <c r="G92" s="458">
        <f>IF(ISNUMBER('Form 10E - Old Scheme'!G92),'Form 10E - Old Scheme'!G92,0)</f>
        <v>0</v>
      </c>
      <c r="H92" s="459"/>
      <c r="I92" s="459"/>
      <c r="J92" s="459"/>
      <c r="K92" s="459"/>
      <c r="L92" s="460"/>
      <c r="M92" s="458">
        <f>IF(ISNUMBER('Form 10E - Old Scheme'!M92),'Form 10E - Old Scheme'!M92,0)</f>
        <v>0</v>
      </c>
      <c r="N92" s="459"/>
      <c r="O92" s="459"/>
      <c r="P92" s="459"/>
      <c r="Q92" s="459"/>
      <c r="R92" s="460"/>
      <c r="S92" s="458">
        <f>SUM(G92,M92)</f>
        <v>0</v>
      </c>
      <c r="T92" s="459"/>
      <c r="U92" s="459"/>
      <c r="V92" s="459"/>
      <c r="W92" s="459"/>
      <c r="X92" s="460"/>
      <c r="Y92" s="458">
        <f>MROUND(SUM(AV92,AW92),10)</f>
        <v>0</v>
      </c>
      <c r="Z92" s="459"/>
      <c r="AA92" s="459"/>
      <c r="AB92" s="459"/>
      <c r="AC92" s="459"/>
      <c r="AD92" s="460"/>
      <c r="AE92" s="458">
        <f>SUM(AZ92,BA92)</f>
        <v>0</v>
      </c>
      <c r="AF92" s="459"/>
      <c r="AG92" s="459"/>
      <c r="AH92" s="459"/>
      <c r="AI92" s="459"/>
      <c r="AJ92" s="461"/>
      <c r="AK92" s="462">
        <f t="shared" ref="AK92:AK101" si="0">ABS(AE92-Y92)</f>
        <v>0</v>
      </c>
      <c r="AL92" s="463"/>
      <c r="AM92" s="463"/>
      <c r="AN92" s="463"/>
      <c r="AO92" s="463"/>
      <c r="AP92" s="464"/>
      <c r="AQ92" s="36"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Information'!$AG$21="Yes"),AND(B92="2024-2025",'Basic Information'!$AG$24="Yes")),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0)))))),IF(AND(B92="2024-2025",'Basic Information'!$AG$24="No"), IF(MROUND(G92,10)&lt;= 300000, 0, IF(AND(MROUND(G92,10)&gt; 300000, MROUND(G92,10)&lt;= 700000), ROUND(ABS(MROUND(G92,10)- 300000)*0.05,0), IF(AND(MROUND(G92,10)&gt; 700000, MROUND(G92,10)&lt;= 1000000),  ROUND(20000+ ABS(MROUND(G92,10)- 700000)*0.1,0), IF(AND(MROUND(G92,10)&gt; 1000000, MROUND(G92,10)&lt;= 1200000),  ROUND(50000+ ABS(MROUND(G92,10)- 1000000)*0.15,0),IF(AND(MROUND(G92,10)&gt; 1200000, MROUND(G92,10)&lt;= 1500000),  ROUND(80000+ ABS(MROUND(G92,10)- 1200000)*0.2,0), IF(MROUND(G92,10)&gt; 1500000,  ROUND(140000+ABS(MROUND(G92,10)- 1500000)*0.3,0),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AT92,20000),IF(AND(MROUND(G92,10)&lt;&gt;0,(MROUND(G92,10)-700000)&lt;=AT92),AT92-(MROUND(G92,10)-700000),0)),0))))))</f>
        <v>0</v>
      </c>
      <c r="AV92" s="6">
        <f>IF((AT92&lt;AU92),0,ROUND(ABS(AT92- AU92),0))</f>
        <v>0</v>
      </c>
      <c r="AW92" s="6">
        <f>IF(OR(B92="2005-2006",B92="2006-2007"),ROUND(AV92*0.02,0),IF(OR(B92="2018-2019",B92="2019-2020",B92="2020-2021",B92="2021-2022",B92="2022-2023",B92="2023-2024",B92="2024-2025"),ROUND(AV92*0.04,0),ROUND(AV92*0.03,0)))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Information'!$AG$21="Yes"),AND(B92="2024-2025",'Basic Information'!$AG$24="Yes")),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0)))))),IF(AND(B92="2024-2025",'Basic Information'!$AG$24="No"), IF(MROUND(S92,10)&lt;= 300000, 0, IF(AND(MROUND(S92,10)&gt; 300000, MROUND(S92,10)&lt;= 700000), ROUND(ABS(MROUND(S92,10)- 300000)*0.05,0), IF(AND(MROUND(S92,10)&gt; 700000, MROUND(S92,10)&lt;= 1000000),  ROUND(20000+ ABS(MROUND(S92,10)- 700000)*0.1,0), IF(AND(MROUND(S92,10)&gt; 1000000, MROUND(S92,10)&lt;= 1200000),  ROUND(50000+ ABS(MROUND(S92,10)- 1000000)*0.15,0),IF(AND(MROUND(S92,10)&gt; 1200000, MROUND(S92,10)&lt;= 1500000),  ROUND(80000+ ABS(MROUND(S92,10)- 1200000)*0.2,0), IF(MROUND(S92,10)&gt; 1500000,  ROUND(140000+ABS(MROUND(S92,10)- 1500000)*0.3,0), 0)))))),0)))))))))))))))))</f>
        <v>0</v>
      </c>
      <c r="AY92" s="6">
        <f>IF(OR(B92="2013-2014",B92="2014-2015",B92="2015-2016"),IF(AND(MROUND(S92,10)&lt;=500000,MROUND(S92,10)&lt;&gt;0),IF(AX92&lt;=2000, AX92,2000),0), IF(B92="2016-2017",IF(AND(MROUND(S92,10)&lt;=500000, MROUND(S92,10)&lt;&gt;0),IF(AX92&lt;=5000, AX92,5000),0), IF(OR(B92="2017-2018",B92="2018-2019"),IF(AND(MROUND(S92,10)&lt;=350000,MROUND(S92,10)&lt;&gt;0),IF(AX92&lt;=2500, AX92,2500),0), IF(OR(B92="2019-2020",B92="2020-2021",B92="2021-2022",B92="2022-2023",AND(B92="2023-2024",'Basic Information'!$AG$21="Yes"),AND(B92="2024-2025",'Basic Information'!$AG$24="Yes")),IF(AND(MROUND(S92,10)&lt;=500000,MROUND(S92,10)&lt;&gt;0),IF(AX92&lt;=12500, AX92,12500),0), IF(OR(AND(B92="2023-2024",'Basic Information'!$AG$21="No")),IF(AND(MROUND(S92,10)&lt;=700000,MROUND(S92,10)&lt;&gt;0),IF(AX92&lt;=25000, AX92,25000),IF(AND(MROUND(S92,10)&lt;&gt;0,(MROUND(S92,10)-700000)&lt;= AX92), AX92-(MROUND(S92,10)-700000),0)), IF(OR(AND(B92="2024-2025",'Basic Information'!$AG$24="No")),IF(AND(MROUND(S92,10)&lt;=700000,MROUND(S92,10)&lt;&gt;0),IF(AX92&lt;=20000, AX92,20000),IF(AND(MROUND(S92,10)&lt;&gt;0,(MROUND(S92,10)-700000)&lt;= AX92), AX92-(MROUND(S92,10)-700000),0)),0))))))</f>
        <v>0</v>
      </c>
      <c r="AZ92" s="6">
        <f t="shared" ref="AZ92" si="1">IF((AX92&lt;AY92),0,ROUND(ABS(AX92- AY92),0))</f>
        <v>0</v>
      </c>
      <c r="BA92" s="6">
        <f>IF(OR(B92="2005-2006",B92="2006-2007"),ROUND(AZ92*0.02,0),IF(OR(B92="2018-2019",B92="2019-2020",B92="2020-2021",B92="2021-2022",B92="2022-2023",B92="2023-2024",B92="2024-2025"),ROUND(AZ92*0.04,0),ROUND(AZ92*0.03,0)))</f>
        <v>0</v>
      </c>
    </row>
    <row r="93" spans="2:53" x14ac:dyDescent="0.3">
      <c r="B93" s="545" t="str">
        <f>IF(ISBLANK('Form 10E - Old Scheme'!B93),"",'Form 10E - Old Scheme'!B93)</f>
        <v/>
      </c>
      <c r="C93" s="546"/>
      <c r="D93" s="546"/>
      <c r="E93" s="546"/>
      <c r="F93" s="547"/>
      <c r="G93" s="458">
        <f>IF(ISNUMBER('Form 10E - Old Scheme'!G93),'Form 10E - Old Scheme'!G93,0)</f>
        <v>0</v>
      </c>
      <c r="H93" s="459"/>
      <c r="I93" s="459"/>
      <c r="J93" s="459"/>
      <c r="K93" s="459"/>
      <c r="L93" s="460"/>
      <c r="M93" s="458">
        <f>IF(ISNUMBER('Form 10E - Old Scheme'!M93),'Form 10E - Old Scheme'!M93,0)</f>
        <v>0</v>
      </c>
      <c r="N93" s="459"/>
      <c r="O93" s="459"/>
      <c r="P93" s="459"/>
      <c r="Q93" s="459"/>
      <c r="R93" s="460"/>
      <c r="S93" s="458">
        <f t="shared" ref="S93:S100" si="2">SUM(G93,M93)</f>
        <v>0</v>
      </c>
      <c r="T93" s="459"/>
      <c r="U93" s="459"/>
      <c r="V93" s="459"/>
      <c r="W93" s="459"/>
      <c r="X93" s="460"/>
      <c r="Y93" s="458">
        <f t="shared" ref="Y93:Y100" si="3">MROUND(SUM(AV93,AW93),10)</f>
        <v>0</v>
      </c>
      <c r="Z93" s="459"/>
      <c r="AA93" s="459"/>
      <c r="AB93" s="459"/>
      <c r="AC93" s="459"/>
      <c r="AD93" s="460"/>
      <c r="AE93" s="458">
        <f t="shared" ref="AE93:AE100" si="4">SUM(AZ93,BA93)</f>
        <v>0</v>
      </c>
      <c r="AF93" s="459"/>
      <c r="AG93" s="459"/>
      <c r="AH93" s="459"/>
      <c r="AI93" s="459"/>
      <c r="AJ93" s="461"/>
      <c r="AK93" s="462">
        <f t="shared" si="0"/>
        <v>0</v>
      </c>
      <c r="AL93" s="463"/>
      <c r="AM93" s="463"/>
      <c r="AN93" s="463"/>
      <c r="AO93" s="463"/>
      <c r="AP93" s="464"/>
      <c r="AQ93" s="36"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Information'!$AG$21="Yes"),AND(B93="2024-2025",'Basic Information'!$AG$24="Yes")),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0)))))),IF(AND(B93="2024-2025",'Basic Information'!$AG$24="No"), IF(MROUND(G93,10)&lt;= 300000, 0, IF(AND(MROUND(G93,10)&gt; 300000, MROUND(G93,10)&lt;= 700000), ROUND(ABS(MROUND(G93,10)- 300000)*0.05,0), IF(AND(MROUND(G93,10)&gt; 700000, MROUND(G93,10)&lt;= 1000000),  ROUND(20000+ ABS(MROUND(G93,10)- 700000)*0.1,0), IF(AND(MROUND(G93,10)&gt; 1000000, MROUND(G93,10)&lt;= 1200000),  ROUND(50000+ ABS(MROUND(G93,10)- 1000000)*0.15,0),IF(AND(MROUND(G93,10)&gt; 1200000, MROUND(G93,10)&lt;= 1500000),  ROUND(80000+ ABS(MROUND(G93,10)- 1200000)*0.2,0), IF(MROUND(G93,10)&gt; 1500000,  ROUND(140000+ABS(MROUND(G93,10)- 1500000)*0.3,0),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IF(OR(B93="2005-2006",B93="2006-2007"),ROUND(AV93*0.02,0),IF(OR(B93="2018-2019",B93="2019-2020",B93="2020-2021",B93="2021-2022",B93="2022-2023",B93="2023-2024",B93="2024-2025"),ROUND(AV93*0.04,0),ROUND(AV93*0.03,0)))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Information'!$AG$21="Yes"),AND(B93="2024-2025",'Basic Information'!$AG$24="Yes")),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0)))))),IF(AND(B93="2024-2025",'Basic Information'!$AG$24="No"), IF(MROUND(S93,10)&lt;= 300000, 0, IF(AND(MROUND(S93,10)&gt; 300000, MROUND(S93,10)&lt;= 700000), ROUND(ABS(MROUND(S93,10)- 300000)*0.05,0), IF(AND(MROUND(S93,10)&gt; 700000, MROUND(S93,10)&lt;= 1000000),  ROUND(20000+ ABS(MROUND(S93,10)- 700000)*0.1,0), IF(AND(MROUND(S93,10)&gt; 1000000, MROUND(S93,10)&lt;= 1200000),  ROUND(50000+ ABS(MROUND(S93,10)- 1000000)*0.15,0),IF(AND(MROUND(S93,10)&gt; 1200000, MROUND(S93,10)&lt;= 1500000),  ROUND(80000+ ABS(MROUND(S93,10)- 1200000)*0.2,0), IF(MROUND(S93,10)&gt; 1500000,  ROUND(140000+ABS(MROUND(S93,10)- 1500000)*0.3,0), 0)))))),0)))))))))))))))))</f>
        <v>0</v>
      </c>
      <c r="AY93" s="6">
        <f>IF(OR(B93="2013-2014",B93="2014-2015",B93="2015-2016"),IF(AND(MROUND(S93,10)&lt;=500000,MROUND(S93,10)&lt;&gt;0),IF(AX93&lt;=2000, AX93,2000),0), IF(B93="2016-2017",IF(AND(MROUND(S93,10)&lt;=500000, MROUND(S93,10)&lt;&gt;0),IF(AX93&lt;=5000, AX93,5000),0), IF(OR(B93="2017-2018",B93="2018-2019"),IF(AND(MROUND(S93,10)&lt;=350000,MROUND(S93,10)&lt;&gt;0),IF(AX93&lt;=2500, AX93,2500),0), IF(OR(B93="2019-2020",B93="2020-2021",B93="2021-2022",B93="2022-2023",AND(B93="2023-2024",'Basic Information'!$AG$21="Yes"),AND(B93="2024-2025",'Basic Information'!$AG$24="Yes")),IF(AND(MROUND(S93,10)&lt;=500000,MROUND(S93,10)&lt;&gt;0),IF(AX93&lt;=12500, AX93,12500),0), IF(OR(AND(B93="2023-2024",'Basic Information'!$AG$21="No")),IF(AND(MROUND(S93,10)&lt;=700000,MROUND(S93,10)&lt;&gt;0),IF(AX93&lt;=25000, AX93,25000),IF(AND(MROUND(S93,10)&lt;&gt;0,(MROUND(S93,10)-700000)&lt;= AX93), AX93-(MROUND(S93,10)-700000),0)), IF(OR(AND(B93="2024-2025",'Basic Information'!$AG$24="No")),IF(AND(MROUND(S93,10)&lt;=700000,MROUND(S93,10)&lt;&gt;0),IF(AX93&lt;=20000, AX93,20000),IF(AND(MROUND(S93,10)&lt;&gt;0,(MROUND(S93,10)-700000)&lt;=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IF(OR(B93="2005-2006",B93="2006-2007"),ROUND(AZ93*0.02,0),IF(OR(B93="2018-2019",B93="2019-2020",B93="2020-2021",B93="2021-2022",B93="2022-2023",B93="2023-2024",B93="2024-2025"),ROUND(AZ93*0.04,0),ROUND(AZ93*0.03,0)))</f>
        <v>0</v>
      </c>
    </row>
    <row r="94" spans="2:53" x14ac:dyDescent="0.3">
      <c r="B94" s="545" t="str">
        <f>IF(ISBLANK('Form 10E - Old Scheme'!B94),"",'Form 10E - Old Scheme'!B94)</f>
        <v/>
      </c>
      <c r="C94" s="546"/>
      <c r="D94" s="546"/>
      <c r="E94" s="546"/>
      <c r="F94" s="547"/>
      <c r="G94" s="458">
        <f>IF(ISNUMBER('Form 10E - Old Scheme'!G94),'Form 10E - Old Scheme'!G94,0)</f>
        <v>0</v>
      </c>
      <c r="H94" s="459"/>
      <c r="I94" s="459"/>
      <c r="J94" s="459"/>
      <c r="K94" s="459"/>
      <c r="L94" s="460"/>
      <c r="M94" s="458">
        <f>IF(ISNUMBER('Form 10E - Old Scheme'!M94),'Form 10E - Old Scheme'!M94,0)</f>
        <v>0</v>
      </c>
      <c r="N94" s="459"/>
      <c r="O94" s="459"/>
      <c r="P94" s="459"/>
      <c r="Q94" s="459"/>
      <c r="R94" s="460"/>
      <c r="S94" s="458">
        <f t="shared" si="2"/>
        <v>0</v>
      </c>
      <c r="T94" s="459"/>
      <c r="U94" s="459"/>
      <c r="V94" s="459"/>
      <c r="W94" s="459"/>
      <c r="X94" s="460"/>
      <c r="Y94" s="458">
        <f t="shared" si="3"/>
        <v>0</v>
      </c>
      <c r="Z94" s="459"/>
      <c r="AA94" s="459"/>
      <c r="AB94" s="459"/>
      <c r="AC94" s="459"/>
      <c r="AD94" s="460"/>
      <c r="AE94" s="458">
        <f t="shared" si="4"/>
        <v>0</v>
      </c>
      <c r="AF94" s="459"/>
      <c r="AG94" s="459"/>
      <c r="AH94" s="459"/>
      <c r="AI94" s="459"/>
      <c r="AJ94" s="461"/>
      <c r="AK94" s="462">
        <f t="shared" si="0"/>
        <v>0</v>
      </c>
      <c r="AL94" s="463"/>
      <c r="AM94" s="463"/>
      <c r="AN94" s="463"/>
      <c r="AO94" s="463"/>
      <c r="AP94" s="464"/>
      <c r="AQ94" s="36"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Information'!$AG$21="Yes"),AND(B94="2024-2025",'Basic Information'!$AG$24="Yes")),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0)))))),IF(AND(B94="2024-2025",'Basic Information'!$AG$24="No"), IF(MROUND(G94,10)&lt;= 300000, 0, IF(AND(MROUND(G94,10)&gt; 300000, MROUND(G94,10)&lt;= 700000), ROUND(ABS(MROUND(G94,10)- 300000)*0.05,0), IF(AND(MROUND(G94,10)&gt; 700000, MROUND(G94,10)&lt;= 1000000),  ROUND(20000+ ABS(MROUND(G94,10)- 700000)*0.1,0), IF(AND(MROUND(G94,10)&gt; 1000000, MROUND(G94,10)&lt;= 1200000),  ROUND(50000+ ABS(MROUND(G94,10)- 1000000)*0.15,0),IF(AND(MROUND(G94,10)&gt; 1200000, MROUND(G94,10)&lt;= 1500000),  ROUND(80000+ ABS(MROUND(G94,10)- 1200000)*0.2,0), IF(MROUND(G94,10)&gt; 1500000,  ROUND(140000+ABS(MROUND(G94,10)- 1500000)*0.3,0),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Information'!$AG$21="Yes"),AND(B94="2024-2025",'Basic Information'!$AG$24="Yes")),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0)))))),IF(AND(B94="2024-2025",'Basic Information'!$AG$24="No"), IF(MROUND(S94,10)&lt;= 300000, 0, IF(AND(MROUND(S94,10)&gt; 300000, MROUND(S94,10)&lt;= 700000), ROUND(ABS(MROUND(S94,10)- 300000)*0.05,0), IF(AND(MROUND(S94,10)&gt; 700000, MROUND(S94,10)&lt;= 1000000),  ROUND(20000+ ABS(MROUND(S94,10)- 700000)*0.1,0), IF(AND(MROUND(S94,10)&gt; 1000000, MROUND(S94,10)&lt;= 1200000),  ROUND(50000+ ABS(MROUND(S94,10)- 1000000)*0.15,0),IF(AND(MROUND(S94,10)&gt; 1200000, MROUND(S94,10)&lt;= 1500000),  ROUND(80000+ ABS(MROUND(S94,10)- 1200000)*0.2,0), IF(MROUND(S94,10)&gt; 1500000,  ROUND(140000+ABS(MROUND(S94,10)- 1500000)*0.3,0), 0)))))),0)))))))))))))))))</f>
        <v>0</v>
      </c>
      <c r="AY94" s="6">
        <f>IF(OR(B94="2013-2014",B94="2014-2015",B94="2015-2016"),IF(AND(MROUND(S94,10)&lt;=500000,MROUND(S94,10)&lt;&gt;0),IF(AX94&lt;=2000, AX94,2000),0), IF(B94="2016-2017",IF(AND(MROUND(S94,10)&lt;=500000, MROUND(S94,10)&lt;&gt;0),IF(AX94&lt;=5000, AX94,5000),0), IF(OR(B94="2017-2018",B94="2018-2019"),IF(AND(MROUND(S94,10)&lt;=350000,MROUND(S94,10)&lt;&gt;0),IF(AX94&lt;=2500, AX94,2500),0), IF(OR(B94="2019-2020",B94="2020-2021",B94="2021-2022",B94="2022-2023",AND(B94="2023-2024",'Basic Information'!$AG$21="Yes"),AND(B94="2024-2025",'Basic Information'!$AG$24="Yes")),IF(AND(MROUND(S94,10)&lt;=500000,MROUND(S94,10)&lt;&gt;0),IF(AX94&lt;=12500, AX94,12500),0), IF(OR(AND(B94="2023-2024",'Basic Information'!$AG$21="No")),IF(AND(MROUND(S94,10)&lt;=700000,MROUND(S94,10)&lt;&gt;0),IF(AX94&lt;=25000, AX94,25000),IF(AND(MROUND(S94,10)&lt;&gt;0,(MROUND(S94,10)-700000)&lt;= AX94), AX94-(MROUND(S94,10)-700000),0)), IF(OR(AND(B94="2024-2025",'Basic Information'!$AG$24="No")),IF(AND(MROUND(S94,10)&lt;=700000,MROUND(S94,10)&lt;&gt;0),IF(AX94&lt;=20000, AX94,20000),IF(AND(MROUND(S94,10)&lt;&gt;0,(MROUND(S94,10)-700000)&lt;= AX94), AX94-(MROUND(S94,10)-700000),0)),0))))))</f>
        <v>0</v>
      </c>
      <c r="AZ94" s="6">
        <f t="shared" si="7"/>
        <v>0</v>
      </c>
      <c r="BA94" s="6">
        <f t="shared" si="8"/>
        <v>0</v>
      </c>
    </row>
    <row r="95" spans="2:53" x14ac:dyDescent="0.3">
      <c r="B95" s="545" t="str">
        <f>IF(ISBLANK('Form 10E - Old Scheme'!B95),"",'Form 10E - Old Scheme'!B95)</f>
        <v/>
      </c>
      <c r="C95" s="546"/>
      <c r="D95" s="546"/>
      <c r="E95" s="546"/>
      <c r="F95" s="547"/>
      <c r="G95" s="458">
        <f>IF(ISNUMBER('Form 10E - Old Scheme'!G95),'Form 10E - Old Scheme'!G95,0)</f>
        <v>0</v>
      </c>
      <c r="H95" s="459"/>
      <c r="I95" s="459"/>
      <c r="J95" s="459"/>
      <c r="K95" s="459"/>
      <c r="L95" s="460"/>
      <c r="M95" s="458">
        <f>IF(ISNUMBER('Form 10E - Old Scheme'!M95),'Form 10E - Old Scheme'!M95,0)</f>
        <v>0</v>
      </c>
      <c r="N95" s="459"/>
      <c r="O95" s="459"/>
      <c r="P95" s="459"/>
      <c r="Q95" s="459"/>
      <c r="R95" s="460"/>
      <c r="S95" s="458">
        <f t="shared" si="2"/>
        <v>0</v>
      </c>
      <c r="T95" s="459"/>
      <c r="U95" s="459"/>
      <c r="V95" s="459"/>
      <c r="W95" s="459"/>
      <c r="X95" s="460"/>
      <c r="Y95" s="458">
        <f t="shared" si="3"/>
        <v>0</v>
      </c>
      <c r="Z95" s="459"/>
      <c r="AA95" s="459"/>
      <c r="AB95" s="459"/>
      <c r="AC95" s="459"/>
      <c r="AD95" s="460"/>
      <c r="AE95" s="458">
        <f t="shared" si="4"/>
        <v>0</v>
      </c>
      <c r="AF95" s="459"/>
      <c r="AG95" s="459"/>
      <c r="AH95" s="459"/>
      <c r="AI95" s="459"/>
      <c r="AJ95" s="461"/>
      <c r="AK95" s="462">
        <f t="shared" si="0"/>
        <v>0</v>
      </c>
      <c r="AL95" s="463"/>
      <c r="AM95" s="463"/>
      <c r="AN95" s="463"/>
      <c r="AO95" s="463"/>
      <c r="AP95" s="464"/>
      <c r="AQ95" s="36"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Information'!$AG$21="Yes"),AND(B95="2024-2025",'Basic Information'!$AG$24="Yes")),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0)))))),IF(AND(B95="2024-2025",'Basic Information'!$AG$24="No"), IF(MROUND(G95,10)&lt;= 300000, 0, IF(AND(MROUND(G95,10)&gt; 300000, MROUND(G95,10)&lt;= 700000), ROUND(ABS(MROUND(G95,10)- 300000)*0.05,0), IF(AND(MROUND(G95,10)&gt; 700000, MROUND(G95,10)&lt;= 1000000),  ROUND(20000+ ABS(MROUND(G95,10)- 700000)*0.1,0), IF(AND(MROUND(G95,10)&gt; 1000000, MROUND(G95,10)&lt;= 1200000),  ROUND(50000+ ABS(MROUND(G95,10)- 1000000)*0.15,0),IF(AND(MROUND(G95,10)&gt; 1200000, MROUND(G95,10)&lt;= 1500000),  ROUND(80000+ ABS(MROUND(G95,10)- 1200000)*0.2,0), IF(MROUND(G95,10)&gt; 1500000,  ROUND(140000+ABS(MROUND(G95,10)- 1500000)*0.3,0),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Information'!$AG$21="Yes"),AND(B95="2024-2025",'Basic Information'!$AG$24="Yes")),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0)))))),IF(AND(B95="2024-2025",'Basic Information'!$AG$24="No"), IF(MROUND(S95,10)&lt;= 300000, 0, IF(AND(MROUND(S95,10)&gt; 300000, MROUND(S95,10)&lt;= 700000), ROUND(ABS(MROUND(S95,10)- 300000)*0.05,0), IF(AND(MROUND(S95,10)&gt; 700000, MROUND(S95,10)&lt;= 1000000),  ROUND(20000+ ABS(MROUND(S95,10)- 700000)*0.1,0), IF(AND(MROUND(S95,10)&gt; 1000000, MROUND(S95,10)&lt;= 1200000),  ROUND(50000+ ABS(MROUND(S95,10)- 1000000)*0.15,0),IF(AND(MROUND(S95,10)&gt; 1200000, MROUND(S95,10)&lt;= 1500000),  ROUND(80000+ ABS(MROUND(S95,10)- 1200000)*0.2,0), IF(MROUND(S95,10)&gt; 1500000,  ROUND(140000+ABS(MROUND(S95,10)- 1500000)*0.3,0), 0)))))),0)))))))))))))))))</f>
        <v>0</v>
      </c>
      <c r="AY95" s="6">
        <f>IF(OR(B95="2013-2014",B95="2014-2015",B95="2015-2016"),IF(AND(MROUND(S95,10)&lt;=500000,MROUND(S95,10)&lt;&gt;0),IF(AX95&lt;=2000, AX95,2000),0), IF(B95="2016-2017",IF(AND(MROUND(S95,10)&lt;=500000, MROUND(S95,10)&lt;&gt;0),IF(AX95&lt;=5000, AX95,5000),0), IF(OR(B95="2017-2018",B95="2018-2019"),IF(AND(MROUND(S95,10)&lt;=350000,MROUND(S95,10)&lt;&gt;0),IF(AX95&lt;=2500, AX95,2500),0), IF(OR(B95="2019-2020",B95="2020-2021",B95="2021-2022",B95="2022-2023",AND(B95="2023-2024",'Basic Information'!$AG$21="Yes"),AND(B95="2024-2025",'Basic Information'!$AG$24="Yes")),IF(AND(MROUND(S95,10)&lt;=500000,MROUND(S95,10)&lt;&gt;0),IF(AX95&lt;=12500, AX95,12500),0), IF(OR(AND(B95="2023-2024",'Basic Information'!$AG$21="No")),IF(AND(MROUND(S95,10)&lt;=700000,MROUND(S95,10)&lt;&gt;0),IF(AX95&lt;=25000, AX95,25000),IF(AND(MROUND(S95,10)&lt;&gt;0,(MROUND(S95,10)-700000)&lt;= AX95), AX95-(MROUND(S95,10)-700000),0)), IF(OR(AND(B95="2024-2025",'Basic Information'!$AG$24="No")),IF(AND(MROUND(S95,10)&lt;=700000,MROUND(S95,10)&lt;&gt;0),IF(AX95&lt;=20000, AX95,20000),IF(AND(MROUND(S95,10)&lt;&gt;0,(MROUND(S95,10)-700000)&lt;= AX95), AX95-(MROUND(S95,10)-700000),0)),0))))))</f>
        <v>0</v>
      </c>
      <c r="AZ95" s="6">
        <f t="shared" si="7"/>
        <v>0</v>
      </c>
      <c r="BA95" s="6">
        <f t="shared" si="8"/>
        <v>0</v>
      </c>
    </row>
    <row r="96" spans="2:53" x14ac:dyDescent="0.3">
      <c r="B96" s="545" t="str">
        <f>IF(ISBLANK('Form 10E - Old Scheme'!B96),"",'Form 10E - Old Scheme'!B96)</f>
        <v/>
      </c>
      <c r="C96" s="546"/>
      <c r="D96" s="546"/>
      <c r="E96" s="546"/>
      <c r="F96" s="547"/>
      <c r="G96" s="458">
        <f>IF(ISNUMBER('Form 10E - Old Scheme'!G96),'Form 10E - Old Scheme'!G96,0)</f>
        <v>0</v>
      </c>
      <c r="H96" s="459"/>
      <c r="I96" s="459"/>
      <c r="J96" s="459"/>
      <c r="K96" s="459"/>
      <c r="L96" s="460"/>
      <c r="M96" s="458">
        <f>IF(ISNUMBER('Form 10E - Old Scheme'!M96),'Form 10E - Old Scheme'!M96,0)</f>
        <v>0</v>
      </c>
      <c r="N96" s="459"/>
      <c r="O96" s="459"/>
      <c r="P96" s="459"/>
      <c r="Q96" s="459"/>
      <c r="R96" s="460"/>
      <c r="S96" s="458">
        <f t="shared" si="2"/>
        <v>0</v>
      </c>
      <c r="T96" s="459"/>
      <c r="U96" s="459"/>
      <c r="V96" s="459"/>
      <c r="W96" s="459"/>
      <c r="X96" s="460"/>
      <c r="Y96" s="458">
        <f t="shared" si="3"/>
        <v>0</v>
      </c>
      <c r="Z96" s="459"/>
      <c r="AA96" s="459"/>
      <c r="AB96" s="459"/>
      <c r="AC96" s="459"/>
      <c r="AD96" s="460"/>
      <c r="AE96" s="458">
        <f t="shared" si="4"/>
        <v>0</v>
      </c>
      <c r="AF96" s="459"/>
      <c r="AG96" s="459"/>
      <c r="AH96" s="459"/>
      <c r="AI96" s="459"/>
      <c r="AJ96" s="461"/>
      <c r="AK96" s="462">
        <f t="shared" si="0"/>
        <v>0</v>
      </c>
      <c r="AL96" s="463"/>
      <c r="AM96" s="463"/>
      <c r="AN96" s="463"/>
      <c r="AO96" s="463"/>
      <c r="AP96" s="464"/>
      <c r="AQ96" s="36"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Information'!$AG$21="Yes"),AND(B96="2024-2025",'Basic Information'!$AG$24="Yes")),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0)))))),IF(AND(B96="2024-2025",'Basic Information'!$AG$24="No"), IF(MROUND(G96,10)&lt;= 300000, 0, IF(AND(MROUND(G96,10)&gt; 300000, MROUND(G96,10)&lt;= 700000), ROUND(ABS(MROUND(G96,10)- 300000)*0.05,0), IF(AND(MROUND(G96,10)&gt; 700000, MROUND(G96,10)&lt;= 1000000),  ROUND(20000+ ABS(MROUND(G96,10)- 700000)*0.1,0), IF(AND(MROUND(G96,10)&gt; 1000000, MROUND(G96,10)&lt;= 1200000),  ROUND(50000+ ABS(MROUND(G96,10)- 1000000)*0.15,0),IF(AND(MROUND(G96,10)&gt; 1200000, MROUND(G96,10)&lt;= 1500000),  ROUND(80000+ ABS(MROUND(G96,10)- 1200000)*0.2,0), IF(MROUND(G96,10)&gt; 1500000,  ROUND(140000+ABS(MROUND(G96,10)- 1500000)*0.3,0),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Information'!$AG$21="Yes"),AND(B96="2024-2025",'Basic Information'!$AG$24="Yes")),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0)))))),IF(AND(B96="2024-2025",'Basic Information'!$AG$24="No"), IF(MROUND(S96,10)&lt;= 300000, 0, IF(AND(MROUND(S96,10)&gt; 300000, MROUND(S96,10)&lt;= 700000), ROUND(ABS(MROUND(S96,10)- 300000)*0.05,0), IF(AND(MROUND(S96,10)&gt; 700000, MROUND(S96,10)&lt;= 1000000),  ROUND(20000+ ABS(MROUND(S96,10)- 700000)*0.1,0), IF(AND(MROUND(S96,10)&gt; 1000000, MROUND(S96,10)&lt;= 1200000),  ROUND(50000+ ABS(MROUND(S96,10)- 1000000)*0.15,0),IF(AND(MROUND(S96,10)&gt; 1200000, MROUND(S96,10)&lt;= 1500000),  ROUND(80000+ ABS(MROUND(S96,10)- 1200000)*0.2,0), IF(MROUND(S96,10)&gt; 1500000,  ROUND(140000+ABS(MROUND(S96,10)- 1500000)*0.3,0), 0)))))),0)))))))))))))))))</f>
        <v>0</v>
      </c>
      <c r="AY96" s="6">
        <f>IF(OR(B96="2013-2014",B96="2014-2015",B96="2015-2016"),IF(AND(MROUND(S96,10)&lt;=500000,MROUND(S96,10)&lt;&gt;0),IF(AX96&lt;=2000, AX96,2000),0), IF(B96="2016-2017",IF(AND(MROUND(S96,10)&lt;=500000, MROUND(S96,10)&lt;&gt;0),IF(AX96&lt;=5000, AX96,5000),0), IF(OR(B96="2017-2018",B96="2018-2019"),IF(AND(MROUND(S96,10)&lt;=350000,MROUND(S96,10)&lt;&gt;0),IF(AX96&lt;=2500, AX96,2500),0), IF(OR(B96="2019-2020",B96="2020-2021",B96="2021-2022",B96="2022-2023",AND(B96="2023-2024",'Basic Information'!$AG$21="Yes"),AND(B96="2024-2025",'Basic Information'!$AG$24="Yes")),IF(AND(MROUND(S96,10)&lt;=500000,MROUND(S96,10)&lt;&gt;0),IF(AX96&lt;=12500, AX96,12500),0), IF(OR(AND(B96="2023-2024",'Basic Information'!$AG$21="No")),IF(AND(MROUND(S96,10)&lt;=700000,MROUND(S96,10)&lt;&gt;0),IF(AX96&lt;=25000, AX96,25000),IF(AND(MROUND(S96,10)&lt;&gt;0,(MROUND(S96,10)-700000)&lt;= AX96), AX96-(MROUND(S96,10)-700000),0)), IF(OR(AND(B96="2024-2025",'Basic Information'!$AG$24="No")),IF(AND(MROUND(S96,10)&lt;=700000,MROUND(S96,10)&lt;&gt;0),IF(AX96&lt;=20000, AX96,20000),IF(AND(MROUND(S96,10)&lt;&gt;0,(MROUND(S96,10)-700000)&lt;= AX96), AX96-(MROUND(S96,10)-700000),0)),0))))))</f>
        <v>0</v>
      </c>
      <c r="AZ96" s="6">
        <f t="shared" si="7"/>
        <v>0</v>
      </c>
      <c r="BA96" s="6">
        <f t="shared" si="8"/>
        <v>0</v>
      </c>
    </row>
    <row r="97" spans="2:53" x14ac:dyDescent="0.3">
      <c r="B97" s="545" t="str">
        <f>IF(ISBLANK('Form 10E - Old Scheme'!B97),"",'Form 10E - Old Scheme'!B97)</f>
        <v/>
      </c>
      <c r="C97" s="546"/>
      <c r="D97" s="546"/>
      <c r="E97" s="546"/>
      <c r="F97" s="547"/>
      <c r="G97" s="458">
        <f>IF(ISNUMBER('Form 10E - Old Scheme'!G97),'Form 10E - Old Scheme'!G97,0)</f>
        <v>0</v>
      </c>
      <c r="H97" s="459"/>
      <c r="I97" s="459"/>
      <c r="J97" s="459"/>
      <c r="K97" s="459"/>
      <c r="L97" s="460"/>
      <c r="M97" s="458">
        <f>IF(ISNUMBER('Form 10E - Old Scheme'!M97),'Form 10E - Old Scheme'!M97,0)</f>
        <v>0</v>
      </c>
      <c r="N97" s="459"/>
      <c r="O97" s="459"/>
      <c r="P97" s="459"/>
      <c r="Q97" s="459"/>
      <c r="R97" s="460"/>
      <c r="S97" s="458">
        <f t="shared" si="2"/>
        <v>0</v>
      </c>
      <c r="T97" s="459"/>
      <c r="U97" s="459"/>
      <c r="V97" s="459"/>
      <c r="W97" s="459"/>
      <c r="X97" s="460"/>
      <c r="Y97" s="458">
        <f t="shared" si="3"/>
        <v>0</v>
      </c>
      <c r="Z97" s="459"/>
      <c r="AA97" s="459"/>
      <c r="AB97" s="459"/>
      <c r="AC97" s="459"/>
      <c r="AD97" s="460"/>
      <c r="AE97" s="458">
        <f t="shared" si="4"/>
        <v>0</v>
      </c>
      <c r="AF97" s="459"/>
      <c r="AG97" s="459"/>
      <c r="AH97" s="459"/>
      <c r="AI97" s="459"/>
      <c r="AJ97" s="461"/>
      <c r="AK97" s="462">
        <f t="shared" si="0"/>
        <v>0</v>
      </c>
      <c r="AL97" s="463"/>
      <c r="AM97" s="463"/>
      <c r="AN97" s="463"/>
      <c r="AO97" s="463"/>
      <c r="AP97" s="464"/>
      <c r="AQ97" s="36"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Information'!$AG$21="Yes"),AND(B97="2024-2025",'Basic Information'!$AG$24="Yes")),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0)))))),IF(AND(B97="2024-2025",'Basic Information'!$AG$24="No"), IF(MROUND(G97,10)&lt;= 300000, 0, IF(AND(MROUND(G97,10)&gt; 300000, MROUND(G97,10)&lt;= 700000), ROUND(ABS(MROUND(G97,10)- 300000)*0.05,0), IF(AND(MROUND(G97,10)&gt; 700000, MROUND(G97,10)&lt;= 1000000),  ROUND(20000+ ABS(MROUND(G97,10)- 700000)*0.1,0), IF(AND(MROUND(G97,10)&gt; 1000000, MROUND(G97,10)&lt;= 1200000),  ROUND(50000+ ABS(MROUND(G97,10)- 1000000)*0.15,0),IF(AND(MROUND(G97,10)&gt; 1200000, MROUND(G97,10)&lt;= 1500000),  ROUND(80000+ ABS(MROUND(G97,10)- 1200000)*0.2,0), IF(MROUND(G97,10)&gt; 1500000,  ROUND(140000+ABS(MROUND(G97,10)- 1500000)*0.3,0),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Information'!$AG$21="Yes"),AND(B97="2024-2025",'Basic Information'!$AG$24="Yes")),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0)))))),IF(AND(B97="2024-2025",'Basic Information'!$AG$24="No"), IF(MROUND(S97,10)&lt;= 300000, 0, IF(AND(MROUND(S97,10)&gt; 300000, MROUND(S97,10)&lt;= 700000), ROUND(ABS(MROUND(S97,10)- 300000)*0.05,0), IF(AND(MROUND(S97,10)&gt; 700000, MROUND(S97,10)&lt;= 1000000),  ROUND(20000+ ABS(MROUND(S97,10)- 700000)*0.1,0), IF(AND(MROUND(S97,10)&gt; 1000000, MROUND(S97,10)&lt;= 1200000),  ROUND(50000+ ABS(MROUND(S97,10)- 1000000)*0.15,0),IF(AND(MROUND(S97,10)&gt; 1200000, MROUND(S97,10)&lt;= 1500000),  ROUND(80000+ ABS(MROUND(S97,10)- 1200000)*0.2,0), IF(MROUND(S97,10)&gt; 1500000,  ROUND(140000+ABS(MROUND(S97,10)- 1500000)*0.3,0), 0)))))),0)))))))))))))))))</f>
        <v>0</v>
      </c>
      <c r="AY97" s="6">
        <f>IF(OR(B97="2013-2014",B97="2014-2015",B97="2015-2016"),IF(AND(MROUND(S97,10)&lt;=500000,MROUND(S97,10)&lt;&gt;0),IF(AX97&lt;=2000, AX97,2000),0), IF(B97="2016-2017",IF(AND(MROUND(S97,10)&lt;=500000, MROUND(S97,10)&lt;&gt;0),IF(AX97&lt;=5000, AX97,5000),0), IF(OR(B97="2017-2018",B97="2018-2019"),IF(AND(MROUND(S97,10)&lt;=350000,MROUND(S97,10)&lt;&gt;0),IF(AX97&lt;=2500, AX97,2500),0), IF(OR(B97="2019-2020",B97="2020-2021",B97="2021-2022",B97="2022-2023",AND(B97="2023-2024",'Basic Information'!$AG$21="Yes"),AND(B97="2024-2025",'Basic Information'!$AG$24="Yes")),IF(AND(MROUND(S97,10)&lt;=500000,MROUND(S97,10)&lt;&gt;0),IF(AX97&lt;=12500, AX97,12500),0), IF(OR(AND(B97="2023-2024",'Basic Information'!$AG$21="No")),IF(AND(MROUND(S97,10)&lt;=700000,MROUND(S97,10)&lt;&gt;0),IF(AX97&lt;=25000, AX97,25000),IF(AND(MROUND(S97,10)&lt;&gt;0,(MROUND(S97,10)-700000)&lt;= AX97), AX97-(MROUND(S97,10)-700000),0)), IF(OR(AND(B97="2024-2025",'Basic Information'!$AG$24="No")),IF(AND(MROUND(S97,10)&lt;=700000,MROUND(S97,10)&lt;&gt;0),IF(AX97&lt;=20000, AX97,20000),IF(AND(MROUND(S97,10)&lt;&gt;0,(MROUND(S97,10)-700000)&lt;= AX97), AX97-(MROUND(S97,10)-700000),0)),0))))))</f>
        <v>0</v>
      </c>
      <c r="AZ97" s="6">
        <f t="shared" si="7"/>
        <v>0</v>
      </c>
      <c r="BA97" s="6">
        <f t="shared" si="8"/>
        <v>0</v>
      </c>
    </row>
    <row r="98" spans="2:53" x14ac:dyDescent="0.3">
      <c r="B98" s="545" t="str">
        <f>IF(ISBLANK('Form 10E - Old Scheme'!B98),"",'Form 10E - Old Scheme'!B98)</f>
        <v/>
      </c>
      <c r="C98" s="546"/>
      <c r="D98" s="546"/>
      <c r="E98" s="546"/>
      <c r="F98" s="547"/>
      <c r="G98" s="458">
        <f>IF(ISNUMBER('Form 10E - Old Scheme'!G98),'Form 10E - Old Scheme'!G98,0)</f>
        <v>0</v>
      </c>
      <c r="H98" s="459"/>
      <c r="I98" s="459"/>
      <c r="J98" s="459"/>
      <c r="K98" s="459"/>
      <c r="L98" s="460"/>
      <c r="M98" s="458">
        <f>IF(ISNUMBER('Form 10E - Old Scheme'!M98),'Form 10E - Old Scheme'!M98,0)</f>
        <v>0</v>
      </c>
      <c r="N98" s="459"/>
      <c r="O98" s="459"/>
      <c r="P98" s="459"/>
      <c r="Q98" s="459"/>
      <c r="R98" s="460"/>
      <c r="S98" s="458">
        <f t="shared" si="2"/>
        <v>0</v>
      </c>
      <c r="T98" s="459"/>
      <c r="U98" s="459"/>
      <c r="V98" s="459"/>
      <c r="W98" s="459"/>
      <c r="X98" s="460"/>
      <c r="Y98" s="458">
        <f t="shared" si="3"/>
        <v>0</v>
      </c>
      <c r="Z98" s="459"/>
      <c r="AA98" s="459"/>
      <c r="AB98" s="459"/>
      <c r="AC98" s="459"/>
      <c r="AD98" s="460"/>
      <c r="AE98" s="458">
        <f t="shared" si="4"/>
        <v>0</v>
      </c>
      <c r="AF98" s="459"/>
      <c r="AG98" s="459"/>
      <c r="AH98" s="459"/>
      <c r="AI98" s="459"/>
      <c r="AJ98" s="461"/>
      <c r="AK98" s="462">
        <f t="shared" si="0"/>
        <v>0</v>
      </c>
      <c r="AL98" s="463"/>
      <c r="AM98" s="463"/>
      <c r="AN98" s="463"/>
      <c r="AO98" s="463"/>
      <c r="AP98" s="464"/>
      <c r="AQ98" s="36"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Information'!$AG$21="Yes"),AND(B98="2024-2025",'Basic Information'!$AG$24="Yes")),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0)))))),IF(AND(B98="2024-2025",'Basic Information'!$AG$24="No"), IF(MROUND(G98,10)&lt;= 300000, 0, IF(AND(MROUND(G98,10)&gt; 300000, MROUND(G98,10)&lt;= 700000), ROUND(ABS(MROUND(G98,10)- 300000)*0.05,0), IF(AND(MROUND(G98,10)&gt; 700000, MROUND(G98,10)&lt;= 1000000),  ROUND(20000+ ABS(MROUND(G98,10)- 700000)*0.1,0), IF(AND(MROUND(G98,10)&gt; 1000000, MROUND(G98,10)&lt;= 1200000),  ROUND(50000+ ABS(MROUND(G98,10)- 1000000)*0.15,0),IF(AND(MROUND(G98,10)&gt; 1200000, MROUND(G98,10)&lt;= 1500000),  ROUND(80000+ ABS(MROUND(G98,10)- 1200000)*0.2,0), IF(MROUND(G98,10)&gt; 1500000,  ROUND(140000+ABS(MROUND(G98,10)- 1500000)*0.3,0),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Information'!$AG$21="Yes"),AND(B98="2024-2025",'Basic Information'!$AG$24="Yes")),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0)))))),IF(AND(B98="2024-2025",'Basic Information'!$AG$24="No"), IF(MROUND(S98,10)&lt;= 300000, 0, IF(AND(MROUND(S98,10)&gt; 300000, MROUND(S98,10)&lt;= 700000), ROUND(ABS(MROUND(S98,10)- 300000)*0.05,0), IF(AND(MROUND(S98,10)&gt; 700000, MROUND(S98,10)&lt;= 1000000),  ROUND(20000+ ABS(MROUND(S98,10)- 700000)*0.1,0), IF(AND(MROUND(S98,10)&gt; 1000000, MROUND(S98,10)&lt;= 1200000),  ROUND(50000+ ABS(MROUND(S98,10)- 1000000)*0.15,0),IF(AND(MROUND(S98,10)&gt; 1200000, MROUND(S98,10)&lt;= 1500000),  ROUND(80000+ ABS(MROUND(S98,10)- 1200000)*0.2,0), IF(MROUND(S98,10)&gt; 1500000,  ROUND(140000+ABS(MROUND(S98,10)- 1500000)*0.3,0), 0)))))),0)))))))))))))))))</f>
        <v>0</v>
      </c>
      <c r="AY98" s="6">
        <f>IF(OR(B98="2013-2014",B98="2014-2015",B98="2015-2016"),IF(AND(MROUND(S98,10)&lt;=500000,MROUND(S98,10)&lt;&gt;0),IF(AX98&lt;=2000, AX98,2000),0), IF(B98="2016-2017",IF(AND(MROUND(S98,10)&lt;=500000, MROUND(S98,10)&lt;&gt;0),IF(AX98&lt;=5000, AX98,5000),0), IF(OR(B98="2017-2018",B98="2018-2019"),IF(AND(MROUND(S98,10)&lt;=350000,MROUND(S98,10)&lt;&gt;0),IF(AX98&lt;=2500, AX98,2500),0), IF(OR(B98="2019-2020",B98="2020-2021",B98="2021-2022",B98="2022-2023",AND(B98="2023-2024",'Basic Information'!$AG$21="Yes"),AND(B98="2024-2025",'Basic Information'!$AG$24="Yes")),IF(AND(MROUND(S98,10)&lt;=500000,MROUND(S98,10)&lt;&gt;0),IF(AX98&lt;=12500, AX98,12500),0), IF(OR(AND(B98="2023-2024",'Basic Information'!$AG$21="No")),IF(AND(MROUND(S98,10)&lt;=700000,MROUND(S98,10)&lt;&gt;0),IF(AX98&lt;=25000, AX98,25000),IF(AND(MROUND(S98,10)&lt;&gt;0,(MROUND(S98,10)-700000)&lt;= AX98), AX98-(MROUND(S98,10)-700000),0)), IF(OR(AND(B98="2024-2025",'Basic Information'!$AG$24="No")),IF(AND(MROUND(S98,10)&lt;=700000,MROUND(S98,10)&lt;&gt;0),IF(AX98&lt;=20000, AX98,20000),IF(AND(MROUND(S98,10)&lt;&gt;0,(MROUND(S98,10)-700000)&lt;= AX98), AX98-(MROUND(S98,10)-700000),0)),0))))))</f>
        <v>0</v>
      </c>
      <c r="AZ98" s="6">
        <f t="shared" si="7"/>
        <v>0</v>
      </c>
      <c r="BA98" s="6">
        <f t="shared" si="8"/>
        <v>0</v>
      </c>
    </row>
    <row r="99" spans="2:53" x14ac:dyDescent="0.3">
      <c r="B99" s="545" t="str">
        <f>IF(ISBLANK('Form 10E - Old Scheme'!B99),"",'Form 10E - Old Scheme'!B99)</f>
        <v/>
      </c>
      <c r="C99" s="546"/>
      <c r="D99" s="546"/>
      <c r="E99" s="546"/>
      <c r="F99" s="547"/>
      <c r="G99" s="458">
        <f>IF(ISNUMBER('Form 10E - Old Scheme'!G99),'Form 10E - Old Scheme'!G99,0)</f>
        <v>0</v>
      </c>
      <c r="H99" s="459"/>
      <c r="I99" s="459"/>
      <c r="J99" s="459"/>
      <c r="K99" s="459"/>
      <c r="L99" s="460"/>
      <c r="M99" s="458">
        <f>IF(ISNUMBER('Form 10E - Old Scheme'!M99),'Form 10E - Old Scheme'!M99,0)</f>
        <v>0</v>
      </c>
      <c r="N99" s="459"/>
      <c r="O99" s="459"/>
      <c r="P99" s="459"/>
      <c r="Q99" s="459"/>
      <c r="R99" s="460"/>
      <c r="S99" s="458">
        <f t="shared" si="2"/>
        <v>0</v>
      </c>
      <c r="T99" s="459"/>
      <c r="U99" s="459"/>
      <c r="V99" s="459"/>
      <c r="W99" s="459"/>
      <c r="X99" s="460"/>
      <c r="Y99" s="458">
        <f t="shared" si="3"/>
        <v>0</v>
      </c>
      <c r="Z99" s="459"/>
      <c r="AA99" s="459"/>
      <c r="AB99" s="459"/>
      <c r="AC99" s="459"/>
      <c r="AD99" s="460"/>
      <c r="AE99" s="458">
        <f t="shared" si="4"/>
        <v>0</v>
      </c>
      <c r="AF99" s="459"/>
      <c r="AG99" s="459"/>
      <c r="AH99" s="459"/>
      <c r="AI99" s="459"/>
      <c r="AJ99" s="461"/>
      <c r="AK99" s="462">
        <f t="shared" si="0"/>
        <v>0</v>
      </c>
      <c r="AL99" s="463"/>
      <c r="AM99" s="463"/>
      <c r="AN99" s="463"/>
      <c r="AO99" s="463"/>
      <c r="AP99" s="464"/>
      <c r="AQ99" s="36"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Information'!$AG$21="Yes"),AND(B99="2024-2025",'Basic Information'!$AG$24="Yes")),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0)))))),IF(AND(B99="2024-2025",'Basic Information'!$AG$24="No"), IF(MROUND(G99,10)&lt;= 300000, 0, IF(AND(MROUND(G99,10)&gt; 300000, MROUND(G99,10)&lt;= 700000), ROUND(ABS(MROUND(G99,10)- 300000)*0.05,0), IF(AND(MROUND(G99,10)&gt; 700000, MROUND(G99,10)&lt;= 1000000),  ROUND(20000+ ABS(MROUND(G99,10)- 700000)*0.1,0), IF(AND(MROUND(G99,10)&gt; 1000000, MROUND(G99,10)&lt;= 1200000),  ROUND(50000+ ABS(MROUND(G99,10)- 1000000)*0.15,0),IF(AND(MROUND(G99,10)&gt; 1200000, MROUND(G99,10)&lt;= 1500000),  ROUND(80000+ ABS(MROUND(G99,10)- 1200000)*0.2,0), IF(MROUND(G99,10)&gt; 1500000,  ROUND(140000+ABS(MROUND(G99,10)- 1500000)*0.3,0),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Information'!$AG$21="Yes"),AND(B99="2024-2025",'Basic Information'!$AG$24="Yes")),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0)))))),IF(AND(B99="2024-2025",'Basic Information'!$AG$24="No"), IF(MROUND(S99,10)&lt;= 300000, 0, IF(AND(MROUND(S99,10)&gt; 300000, MROUND(S99,10)&lt;= 700000), ROUND(ABS(MROUND(S99,10)- 300000)*0.05,0), IF(AND(MROUND(S99,10)&gt; 700000, MROUND(S99,10)&lt;= 1000000),  ROUND(20000+ ABS(MROUND(S99,10)- 700000)*0.1,0), IF(AND(MROUND(S99,10)&gt; 1000000, MROUND(S99,10)&lt;= 1200000),  ROUND(50000+ ABS(MROUND(S99,10)- 1000000)*0.15,0),IF(AND(MROUND(S99,10)&gt; 1200000, MROUND(S99,10)&lt;= 1500000),  ROUND(80000+ ABS(MROUND(S99,10)- 1200000)*0.2,0), IF(MROUND(S99,10)&gt; 1500000,  ROUND(140000+ABS(MROUND(S99,10)- 1500000)*0.3,0), 0)))))),0)))))))))))))))))</f>
        <v>0</v>
      </c>
      <c r="AY99" s="6">
        <f>IF(OR(B99="2013-2014",B99="2014-2015",B99="2015-2016"),IF(AND(MROUND(S99,10)&lt;=500000,MROUND(S99,10)&lt;&gt;0),IF(AX99&lt;=2000, AX99,2000),0), IF(B99="2016-2017",IF(AND(MROUND(S99,10)&lt;=500000, MROUND(S99,10)&lt;&gt;0),IF(AX99&lt;=5000, AX99,5000),0), IF(OR(B99="2017-2018",B99="2018-2019"),IF(AND(MROUND(S99,10)&lt;=350000,MROUND(S99,10)&lt;&gt;0),IF(AX99&lt;=2500, AX99,2500),0), IF(OR(B99="2019-2020",B99="2020-2021",B99="2021-2022",B99="2022-2023",AND(B99="2023-2024",'Basic Information'!$AG$21="Yes"),AND(B99="2024-2025",'Basic Information'!$AG$24="Yes")),IF(AND(MROUND(S99,10)&lt;=500000,MROUND(S99,10)&lt;&gt;0),IF(AX99&lt;=12500, AX99,12500),0), IF(OR(AND(B99="2023-2024",'Basic Information'!$AG$21="No")),IF(AND(MROUND(S99,10)&lt;=700000,MROUND(S99,10)&lt;&gt;0),IF(AX99&lt;=25000, AX99,25000),IF(AND(MROUND(S99,10)&lt;&gt;0,(MROUND(S99,10)-700000)&lt;= AX99), AX99-(MROUND(S99,10)-700000),0)), IF(OR(AND(B99="2024-2025",'Basic Information'!$AG$24="No")),IF(AND(MROUND(S99,10)&lt;=700000,MROUND(S99,10)&lt;&gt;0),IF(AX99&lt;=20000, AX99,20000),IF(AND(MROUND(S99,10)&lt;&gt;0,(MROUND(S99,10)-700000)&lt;= AX99), AX99-(MROUND(S99,10)-700000),0)),0))))))</f>
        <v>0</v>
      </c>
      <c r="AZ99" s="6">
        <f t="shared" si="7"/>
        <v>0</v>
      </c>
      <c r="BA99" s="6">
        <f t="shared" si="8"/>
        <v>0</v>
      </c>
    </row>
    <row r="100" spans="2:53" x14ac:dyDescent="0.3">
      <c r="B100" s="545" t="str">
        <f>IF(ISBLANK('Form 10E - Old Scheme'!B100),"",'Form 10E - Old Scheme'!B100)</f>
        <v/>
      </c>
      <c r="C100" s="546"/>
      <c r="D100" s="546"/>
      <c r="E100" s="546"/>
      <c r="F100" s="547"/>
      <c r="G100" s="458">
        <f>IF(ISNUMBER('Form 10E - Old Scheme'!G100),'Form 10E - Old Scheme'!G100,0)</f>
        <v>0</v>
      </c>
      <c r="H100" s="459"/>
      <c r="I100" s="459"/>
      <c r="J100" s="459"/>
      <c r="K100" s="459"/>
      <c r="L100" s="460"/>
      <c r="M100" s="458">
        <f>IF(ISNUMBER('Form 10E - Old Scheme'!M100),'Form 10E - Old Scheme'!M100,0)</f>
        <v>0</v>
      </c>
      <c r="N100" s="459"/>
      <c r="O100" s="459"/>
      <c r="P100" s="459"/>
      <c r="Q100" s="459"/>
      <c r="R100" s="460"/>
      <c r="S100" s="458">
        <f t="shared" si="2"/>
        <v>0</v>
      </c>
      <c r="T100" s="459"/>
      <c r="U100" s="459"/>
      <c r="V100" s="459"/>
      <c r="W100" s="459"/>
      <c r="X100" s="460"/>
      <c r="Y100" s="458">
        <f t="shared" si="3"/>
        <v>0</v>
      </c>
      <c r="Z100" s="459"/>
      <c r="AA100" s="459"/>
      <c r="AB100" s="459"/>
      <c r="AC100" s="459"/>
      <c r="AD100" s="460"/>
      <c r="AE100" s="458">
        <f t="shared" si="4"/>
        <v>0</v>
      </c>
      <c r="AF100" s="459"/>
      <c r="AG100" s="459"/>
      <c r="AH100" s="459"/>
      <c r="AI100" s="459"/>
      <c r="AJ100" s="461"/>
      <c r="AK100" s="462">
        <f t="shared" ref="AK100" si="10">ABS(AE100-Y100)</f>
        <v>0</v>
      </c>
      <c r="AL100" s="463"/>
      <c r="AM100" s="463"/>
      <c r="AN100" s="463"/>
      <c r="AO100" s="463"/>
      <c r="AP100" s="464"/>
      <c r="AQ100" s="36"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Information'!$AG$21="Yes"),AND(B100="2024-2025",'Basic Information'!$AG$24="Yes")),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0)))))),IF(AND(B100="2024-2025",'Basic Information'!$AG$24="No"), IF(MROUND(G100,10)&lt;= 300000, 0, IF(AND(MROUND(G100,10)&gt; 300000, MROUND(G100,10)&lt;= 700000), ROUND(ABS(MROUND(G100,10)- 300000)*0.05,0), IF(AND(MROUND(G100,10)&gt; 700000, MROUND(G100,10)&lt;= 1000000),  ROUND(20000+ ABS(MROUND(G100,10)- 700000)*0.1,0), IF(AND(MROUND(G100,10)&gt; 1000000, MROUND(G100,10)&lt;= 1200000),  ROUND(50000+ ABS(MROUND(G100,10)- 1000000)*0.15,0),IF(AND(MROUND(G100,10)&gt; 1200000, MROUND(G100,10)&lt;= 1500000),  ROUND(80000+ ABS(MROUND(G100,10)- 1200000)*0.2,0), IF(MROUND(G100,10)&gt; 1500000,  ROUND(140000+ABS(MROUND(G100,10)- 1500000)*0.3,0),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Information'!$AG$21="Yes"),AND(B100="2024-2025",'Basic Information'!$AG$24="Yes")),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0)))))),IF(AND(B100="2024-2025",'Basic Information'!$AG$24="No"), IF(MROUND(S100,10)&lt;= 300000, 0, IF(AND(MROUND(S100,10)&gt; 300000, MROUND(S100,10)&lt;= 700000), ROUND(ABS(MROUND(S100,10)- 300000)*0.05,0), IF(AND(MROUND(S100,10)&gt; 700000, MROUND(S100,10)&lt;= 1000000),  ROUND(20000+ ABS(MROUND(S100,10)- 700000)*0.1,0), IF(AND(MROUND(S100,10)&gt; 1000000, MROUND(S100,10)&lt;= 1200000),  ROUND(50000+ ABS(MROUND(S100,10)- 1000000)*0.15,0),IF(AND(MROUND(S100,10)&gt; 1200000, MROUND(S100,10)&lt;= 1500000),  ROUND(80000+ ABS(MROUND(S100,10)- 1200000)*0.2,0), IF(MROUND(S100,10)&gt; 1500000,  ROUND(140000+ABS(MROUND(S100,10)- 1500000)*0.3,0), 0)))))),0)))))))))))))))))</f>
        <v>0</v>
      </c>
      <c r="AY100" s="6">
        <f>IF(OR(B100="2013-2014",B100="2014-2015",B100="2015-2016"),IF(AND(MROUND(S100,10)&lt;=500000,MROUND(S100,10)&lt;&gt;0),IF(AX100&lt;=2000, AX100,2000),0), IF(B100="2016-2017",IF(AND(MROUND(S100,10)&lt;=500000, MROUND(S100,10)&lt;&gt;0),IF(AX100&lt;=5000, AX100,5000),0), IF(OR(B100="2017-2018",B100="2018-2019"),IF(AND(MROUND(S100,10)&lt;=350000,MROUND(S100,10)&lt;&gt;0),IF(AX100&lt;=2500, AX100,2500),0), IF(OR(B100="2019-2020",B100="2020-2021",B100="2021-2022",B100="2022-2023",AND(B100="2023-2024",'Basic Information'!$AG$21="Yes"),AND(B100="2024-2025",'Basic Information'!$AG$24="Yes")),IF(AND(MROUND(S100,10)&lt;=500000,MROUND(S100,10)&lt;&gt;0),IF(AX100&lt;=12500, AX100,12500),0), IF(OR(AND(B100="2023-2024",'Basic Information'!$AG$21="No")),IF(AND(MROUND(S100,10)&lt;=700000,MROUND(S100,10)&lt;&gt;0),IF(AX100&lt;=25000, AX100,25000),IF(AND(MROUND(S100,10)&lt;&gt;0,(MROUND(S100,10)-700000)&lt;= AX100), AX100-(MROUND(S100,10)-700000),0)), IF(OR(AND(B100="2024-2025",'Basic Information'!$AG$24="No")),IF(AND(MROUND(S100,10)&lt;=700000,MROUND(S100,10)&lt;&gt;0),IF(AX100&lt;=20000, AX100,20000),IF(AND(MROUND(S100,10)&lt;&gt;0,(MROUND(S100,10)-700000)&lt;= AX100), AX100-(MROUND(S100,10)-700000),0)),0))))))</f>
        <v>0</v>
      </c>
      <c r="AZ100" s="6">
        <f t="shared" si="7"/>
        <v>0</v>
      </c>
      <c r="BA100" s="6">
        <f t="shared" si="8"/>
        <v>0</v>
      </c>
    </row>
    <row r="101" spans="2:53" x14ac:dyDescent="0.3">
      <c r="B101" s="545" t="str">
        <f>IF(ISBLANK('Form 10E - Old Scheme'!B101),"",'Form 10E - Old Scheme'!B101)</f>
        <v/>
      </c>
      <c r="C101" s="546"/>
      <c r="D101" s="546"/>
      <c r="E101" s="546"/>
      <c r="F101" s="547"/>
      <c r="G101" s="458">
        <f>IF(ISNUMBER('Form 10E - Old Scheme'!G101),'Form 10E - Old Scheme'!G101,0)</f>
        <v>0</v>
      </c>
      <c r="H101" s="459"/>
      <c r="I101" s="459"/>
      <c r="J101" s="459"/>
      <c r="K101" s="459"/>
      <c r="L101" s="460"/>
      <c r="M101" s="458">
        <f>IF(ISNUMBER('Form 10E - Old Scheme'!M101),'Form 10E - Old Scheme'!M101,0)</f>
        <v>0</v>
      </c>
      <c r="N101" s="459"/>
      <c r="O101" s="459"/>
      <c r="P101" s="459"/>
      <c r="Q101" s="459"/>
      <c r="R101" s="460"/>
      <c r="S101" s="458">
        <f>SUM(G101,M101)</f>
        <v>0</v>
      </c>
      <c r="T101" s="459"/>
      <c r="U101" s="459"/>
      <c r="V101" s="459"/>
      <c r="W101" s="459"/>
      <c r="X101" s="460"/>
      <c r="Y101" s="458">
        <f>MROUND(SUM(AV101,AW101),10)</f>
        <v>0</v>
      </c>
      <c r="Z101" s="459"/>
      <c r="AA101" s="459"/>
      <c r="AB101" s="459"/>
      <c r="AC101" s="459"/>
      <c r="AD101" s="460"/>
      <c r="AE101" s="458">
        <f>SUM(AZ101,BA101)</f>
        <v>0</v>
      </c>
      <c r="AF101" s="459"/>
      <c r="AG101" s="459"/>
      <c r="AH101" s="459"/>
      <c r="AI101" s="459"/>
      <c r="AJ101" s="461"/>
      <c r="AK101" s="462">
        <f t="shared" si="0"/>
        <v>0</v>
      </c>
      <c r="AL101" s="463"/>
      <c r="AM101" s="463"/>
      <c r="AN101" s="463"/>
      <c r="AO101" s="463"/>
      <c r="AP101" s="464"/>
      <c r="AQ101" s="36"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Information'!$AG$21="Yes"),AND(B101="2024-2025",'Basic Information'!$AG$24="Yes")),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0)))))),IF(AND(B101="2024-2025",'Basic Information'!$AG$24="No"), IF(MROUND(G101,10)&lt;= 300000, 0, IF(AND(MROUND(G101,10)&gt; 300000, MROUND(G101,10)&lt;= 700000), ROUND(ABS(MROUND(G101,10)- 300000)*0.05,0), IF(AND(MROUND(G101,10)&gt; 700000, MROUND(G101,10)&lt;= 1000000),  ROUND(20000+ ABS(MROUND(G101,10)- 700000)*0.1,0), IF(AND(MROUND(G101,10)&gt; 1000000, MROUND(G101,10)&lt;= 1200000),  ROUND(50000+ ABS(MROUND(G101,10)- 1000000)*0.15,0),IF(AND(MROUND(G101,10)&gt; 1200000, MROUND(G101,10)&lt;= 1500000),  ROUND(80000+ ABS(MROUND(G101,10)- 1200000)*0.2,0), IF(MROUND(G101,10)&gt; 1500000,  ROUND(140000+ABS(MROUND(G101,10)- 1500000)*0.3,0),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Information'!$AG$21="Yes"),AND(B101="2024-2025",'Basic Information'!$AG$24="Yes")),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0)))))),IF(AND(B101="2024-2025",'Basic Information'!$AG$24="No"), IF(MROUND(S101,10)&lt;= 300000, 0, IF(AND(MROUND(S101,10)&gt; 300000, MROUND(S101,10)&lt;= 700000), ROUND(ABS(MROUND(S101,10)- 300000)*0.05,0), IF(AND(MROUND(S101,10)&gt; 700000, MROUND(S101,10)&lt;= 1000000),  ROUND(20000+ ABS(MROUND(S101,10)- 700000)*0.1,0), IF(AND(MROUND(S101,10)&gt; 1000000, MROUND(S101,10)&lt;= 1200000),  ROUND(50000+ ABS(MROUND(S101,10)- 1000000)*0.15,0),IF(AND(MROUND(S101,10)&gt; 1200000, MROUND(S101,10)&lt;= 1500000),  ROUND(80000+ ABS(MROUND(S101,10)- 1200000)*0.2,0), IF(MROUND(S101,10)&gt; 1500000,  ROUND(140000+ABS(MROUND(S101,10)- 1500000)*0.3,0), 0)))))),0)))))))))))))))))</f>
        <v>0</v>
      </c>
      <c r="AY101" s="6">
        <f>IF(OR(B101="2013-2014",B101="2014-2015",B101="2015-2016"),IF(AND(MROUND(S101,10)&lt;=500000,MROUND(S101,10)&lt;&gt;0),IF(AX101&lt;=2000, AX101,2000),0), IF(B101="2016-2017",IF(AND(MROUND(S101,10)&lt;=500000, MROUND(S101,10)&lt;&gt;0),IF(AX101&lt;=5000, AX101,5000),0), IF(OR(B101="2017-2018",B101="2018-2019"),IF(AND(MROUND(S101,10)&lt;=350000,MROUND(S101,10)&lt;&gt;0),IF(AX101&lt;=2500, AX101,2500),0), IF(OR(B101="2019-2020",B101="2020-2021",B101="2021-2022",B101="2022-2023",AND(B101="2023-2024",'Basic Information'!$AG$21="Yes"),AND(B101="2024-2025",'Basic Information'!$AG$24="Yes")),IF(AND(MROUND(S101,10)&lt;=500000,MROUND(S101,10)&lt;&gt;0),IF(AX101&lt;=12500, AX101,12500),0), IF(OR(AND(B101="2023-2024",'Basic Information'!$AG$21="No")),IF(AND(MROUND(S101,10)&lt;=700000,MROUND(S101,10)&lt;&gt;0),IF(AX101&lt;=25000, AX101,25000),IF(AND(MROUND(S101,10)&lt;&gt;0,(MROUND(S101,10)-700000)&lt;= AX101), AX101-(MROUND(S101,10)-700000),0)), IF(OR(AND(B101="2024-2025",'Basic Information'!$AG$24="No")),IF(AND(MROUND(S101,10)&lt;=700000,MROUND(S101,10)&lt;&gt;0),IF(AX101&lt;=20000, AX101,20000),IF(AND(MROUND(S101,10)&lt;&gt;0,(MROUND(S101,10)-700000)&lt;= AX101), AX101-(MROUND(S101,10)-700000),0)),0))))))</f>
        <v>0</v>
      </c>
      <c r="AZ101" s="6">
        <f t="shared" si="7"/>
        <v>0</v>
      </c>
      <c r="BA101" s="6">
        <f t="shared" si="8"/>
        <v>0</v>
      </c>
    </row>
    <row r="102" spans="2:53" x14ac:dyDescent="0.3">
      <c r="B102" s="497" t="s">
        <v>72</v>
      </c>
      <c r="C102" s="498"/>
      <c r="D102" s="498"/>
      <c r="E102" s="498"/>
      <c r="F102" s="499"/>
      <c r="G102" s="458">
        <f>SUM(G92:G101)</f>
        <v>0</v>
      </c>
      <c r="H102" s="459"/>
      <c r="I102" s="459"/>
      <c r="J102" s="459"/>
      <c r="K102" s="459"/>
      <c r="L102" s="460"/>
      <c r="M102" s="458">
        <f>SUM(M92:M101)</f>
        <v>0</v>
      </c>
      <c r="N102" s="459"/>
      <c r="O102" s="459"/>
      <c r="P102" s="459"/>
      <c r="Q102" s="459"/>
      <c r="R102" s="460"/>
      <c r="S102" s="458">
        <f>SUM(S92:S101)</f>
        <v>0</v>
      </c>
      <c r="T102" s="459"/>
      <c r="U102" s="459"/>
      <c r="V102" s="459"/>
      <c r="W102" s="459"/>
      <c r="X102" s="460"/>
      <c r="Y102" s="458">
        <f>SUM(Y92:Y101)</f>
        <v>0</v>
      </c>
      <c r="Z102" s="459"/>
      <c r="AA102" s="459"/>
      <c r="AB102" s="459"/>
      <c r="AC102" s="459"/>
      <c r="AD102" s="460"/>
      <c r="AE102" s="458">
        <f>SUM(AE92:AE101)</f>
        <v>0</v>
      </c>
      <c r="AF102" s="459"/>
      <c r="AG102" s="459"/>
      <c r="AH102" s="459"/>
      <c r="AI102" s="459"/>
      <c r="AJ102" s="461"/>
      <c r="AK102" s="462">
        <f>SUM(AK92:AK101)</f>
        <v>0</v>
      </c>
      <c r="AL102" s="463"/>
      <c r="AM102" s="463"/>
      <c r="AN102" s="463"/>
      <c r="AO102" s="463"/>
      <c r="AP102" s="464"/>
      <c r="AQ102" s="33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74"/>
      <c r="AS102" s="174"/>
      <c r="AT102" s="174"/>
      <c r="AU102" s="174"/>
      <c r="AV102" s="174"/>
      <c r="AW102" s="174"/>
    </row>
    <row r="103" spans="2:53" ht="30.75" customHeight="1" x14ac:dyDescent="0.3">
      <c r="B103" s="8"/>
      <c r="AQ103" s="174"/>
      <c r="AR103" s="174"/>
      <c r="AS103" s="174"/>
      <c r="AT103" s="174"/>
      <c r="AU103" s="174"/>
      <c r="AV103" s="174"/>
      <c r="AW103" s="174"/>
    </row>
    <row r="104" spans="2:53" x14ac:dyDescent="0.3">
      <c r="B104" s="342" t="s">
        <v>73</v>
      </c>
      <c r="C104" s="342"/>
      <c r="D104" s="342"/>
      <c r="E104" s="342"/>
      <c r="F104" s="342"/>
      <c r="G104" s="342"/>
      <c r="H104" s="342"/>
      <c r="I104" s="342"/>
      <c r="J104" s="342"/>
      <c r="K104" s="342"/>
      <c r="L104" s="8" t="s">
        <v>5</v>
      </c>
      <c r="M104" s="343" t="str">
        <f>PROPER(D45)</f>
        <v xml:space="preserve"> </v>
      </c>
      <c r="N104" s="343"/>
      <c r="O104" s="343"/>
      <c r="P104" s="343"/>
      <c r="Q104" s="343"/>
      <c r="R104" s="343"/>
      <c r="S104" s="343"/>
      <c r="T104" s="343"/>
      <c r="U104" s="343"/>
      <c r="V104" s="343"/>
      <c r="W104" s="343"/>
      <c r="X104" s="343"/>
      <c r="Y104" s="343"/>
      <c r="Z104" s="343"/>
      <c r="AB104" s="344" t="s">
        <v>51</v>
      </c>
      <c r="AC104" s="344"/>
      <c r="AD104" s="344"/>
      <c r="AE104" s="344"/>
      <c r="AF104" s="344"/>
      <c r="AG104" s="344"/>
      <c r="AH104" s="344"/>
      <c r="AI104" s="344"/>
      <c r="AJ104" s="344"/>
      <c r="AK104" s="344"/>
      <c r="AL104" s="344"/>
      <c r="AM104" s="344"/>
    </row>
  </sheetData>
  <sheetProtection algorithmName="SHA-512" hashValue="NNppIKY/mFiqQLqkFoEKqz5hbnAyBDAr9RzLqq7U+g5ymsreK8613FXJ8OKoI/bzfLeNimTB9lwStVtZEWiCPw==" saltValue="VIWviWt6ybW2IGj8/VouBw==" spinCount="100000" sheet="1" objects="1" scenarios="1" selectLockedCells="1"/>
  <mergeCells count="199">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U16:AN16"/>
    <mergeCell ref="D17:S17"/>
    <mergeCell ref="U17:AN17"/>
    <mergeCell ref="D18:S18"/>
    <mergeCell ref="U18:AN18"/>
    <mergeCell ref="D13:S13"/>
    <mergeCell ref="U13:AN13"/>
    <mergeCell ref="D14:S14"/>
    <mergeCell ref="U14:AN14"/>
    <mergeCell ref="D15:S15"/>
    <mergeCell ref="U15:AN15"/>
    <mergeCell ref="D16:S16"/>
    <mergeCell ref="B5:AN5"/>
    <mergeCell ref="D6:AN6"/>
    <mergeCell ref="B7:AN7"/>
    <mergeCell ref="B8:AN8"/>
    <mergeCell ref="C10:AN10"/>
    <mergeCell ref="AR2:AW4"/>
    <mergeCell ref="AR5:AT6"/>
    <mergeCell ref="AS7:AV8"/>
    <mergeCell ref="AR9:AV10"/>
    <mergeCell ref="B2:AN2"/>
    <mergeCell ref="B3:AN3"/>
    <mergeCell ref="D19:S19"/>
    <mergeCell ref="U19:AN19"/>
    <mergeCell ref="D20:S20"/>
    <mergeCell ref="U20:AN20"/>
    <mergeCell ref="D21:S21"/>
    <mergeCell ref="U21:AN21"/>
    <mergeCell ref="G25:Z25"/>
    <mergeCell ref="AA25:AL25"/>
    <mergeCell ref="F32:AE37"/>
    <mergeCell ref="AF32:AN37"/>
    <mergeCell ref="F29:AE31"/>
    <mergeCell ref="AF29:AN31"/>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s>
  <dataValidations count="1">
    <dataValidation type="list" allowBlank="1" showInputMessage="1" showErrorMessage="1" sqref="AA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2025-12-11T17:18:08Z</dcterms:modified>
</cp:coreProperties>
</file>